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375" windowWidth="15480" windowHeight="7695" activeTab="3"/>
  </bookViews>
  <sheets>
    <sheet name="Зобов&quot;яз_членів" sheetId="9" r:id="rId1"/>
    <sheet name="Вхідні - Адмін_витрати" sheetId="1" r:id="rId2"/>
    <sheet name="Трактор" sheetId="10" r:id="rId3"/>
    <sheet name="Черешня" sheetId="13" r:id="rId4"/>
    <sheet name="Молоко" sheetId="14" r:id="rId5"/>
    <sheet name="Реаліз прод членів" sheetId="7" r:id="rId6"/>
    <sheet name="Коштор проекту дж фінанс" sheetId="8" r:id="rId7"/>
    <sheet name="ВИГОДИ" sheetId="15" r:id="rId8"/>
    <sheet name="cash-flow" sheetId="5" r:id="rId9"/>
  </sheets>
  <externalReferences>
    <externalReference r:id="rId10"/>
  </externalReferences>
  <definedNames>
    <definedName name="_ftn1" localSheetId="6">'Коштор проекту дж фінанс'!$A$36</definedName>
    <definedName name="_ftn2" localSheetId="6">'Коштор проекту дж фінанс'!$A$37</definedName>
    <definedName name="_ftn3" localSheetId="6">'Коштор проекту дж фінанс'!$A$38</definedName>
    <definedName name="_ftnref1" localSheetId="6">'Коштор проекту дж фінанс'!$B$26</definedName>
    <definedName name="_ftnref2" localSheetId="6">'Коштор проекту дж фінанс'!$B$28</definedName>
    <definedName name="_ftnref3" localSheetId="6">'Коштор проекту дж фінанс'!$B$29</definedName>
    <definedName name="tax_employ">'Вхідні - Адмін_витрати'!$C$18</definedName>
    <definedName name="tear_equip" localSheetId="4">'Вхідні - Адмін_витрати'!#REF!</definedName>
    <definedName name="tear_equip" localSheetId="3">'Вхідні - Адмін_витрати'!#REF!</definedName>
    <definedName name="tear_equip">'Вхідні - Адмін_витрати'!#REF!</definedName>
    <definedName name="ам_буд">'Вхідні - Адмін_витрати'!$C$14</definedName>
    <definedName name="ам_будівель">'Вхідні - Адмін_витрати'!$C$14</definedName>
    <definedName name="ам_тех">'Вхідні - Адмін_витрати'!$C$13</definedName>
    <definedName name="Амортизація__обладнання">'Вхідні - Адмін_витрати'!$C$13</definedName>
    <definedName name="бенз">'Вхідні - Адмін_витрати'!$C$23</definedName>
    <definedName name="вартість">'Коштор проекту дж фінанс'!$C$44</definedName>
    <definedName name="вартість1">'Коштор проекту дж фінанс'!$E$44</definedName>
    <definedName name="витрати" localSheetId="4">#REF!</definedName>
    <definedName name="витрати" localSheetId="3">#REF!</definedName>
    <definedName name="витрати">#REF!</definedName>
    <definedName name="витрати1" localSheetId="4">#REF!</definedName>
    <definedName name="витрати1" localSheetId="3">#REF!</definedName>
    <definedName name="витрати1">#REF!</definedName>
    <definedName name="га" localSheetId="4">'Вхідні - Адмін_витрати'!#REF!</definedName>
    <definedName name="га" localSheetId="3">'Вхідні - Адмін_витрати'!#REF!</definedName>
    <definedName name="га">'Вхідні - Адмін_витрати'!#REF!</definedName>
    <definedName name="га1">'Вхідні - Адмін_витрати'!#REF!</definedName>
    <definedName name="дп">'Вхідні - Адмін_витрати'!$C$22</definedName>
    <definedName name="ел">'Вхідні - Адмін_витрати'!$C$21</definedName>
    <definedName name="Курс">'Вхідні - Адмін_витрати'!$C$24</definedName>
    <definedName name="курс1">'Вхідні - Адмін_витрати'!$C$24</definedName>
    <definedName name="Нарахування_на_ФЗП">'Вхідні - Адмін_витрати'!$C$9</definedName>
    <definedName name="опер">'Вхідні - Адмін_витрати'!$C$66</definedName>
    <definedName name="опер2">'Вхідні - Адмін_витрати'!$C$78</definedName>
    <definedName name="офіс">'Вхідні - Адмін_витрати'!$C$15</definedName>
    <definedName name="пдв">'[1]Вихідні дані'!$B$6</definedName>
    <definedName name="послуга">'Вхідні - Адмін_витрати'!#REF!</definedName>
    <definedName name="послуга1">'Зобов"яз_членів'!$J$9</definedName>
    <definedName name="приб">'[1]Вихідні дані'!$B$8</definedName>
    <definedName name="сф">'Вхідні - Адмін_витрати'!$C$16</definedName>
    <definedName name="термін" localSheetId="4">#REF!</definedName>
    <definedName name="термін" localSheetId="3">#REF!</definedName>
    <definedName name="термін">#REF!</definedName>
    <definedName name="фзп">'Вхідні - Адмін_витрати'!$C$9</definedName>
  </definedNames>
  <calcPr calcId="124519"/>
</workbook>
</file>

<file path=xl/calcChain.xml><?xml version="1.0" encoding="utf-8"?>
<calcChain xmlns="http://schemas.openxmlformats.org/spreadsheetml/2006/main">
  <c r="C44" i="1"/>
  <c r="C94" i="10" l="1"/>
  <c r="C5" i="15"/>
  <c r="D51" i="1" l="1"/>
  <c r="E51" s="1"/>
  <c r="F51" s="1"/>
  <c r="C61" i="10" l="1"/>
  <c r="Q36" i="5"/>
  <c r="P36"/>
  <c r="Q34"/>
  <c r="P34"/>
  <c r="E3"/>
  <c r="D7"/>
  <c r="D8" s="1"/>
  <c r="D6"/>
  <c r="C6"/>
  <c r="F6" s="1"/>
  <c r="C7" s="1"/>
  <c r="M18"/>
  <c r="M19" s="1"/>
  <c r="M20" s="1"/>
  <c r="M27" s="1"/>
  <c r="M35" s="1"/>
  <c r="N18"/>
  <c r="N19" s="1"/>
  <c r="N20" s="1"/>
  <c r="N27" s="1"/>
  <c r="N35" s="1"/>
  <c r="N37" s="1"/>
  <c r="N38" s="1"/>
  <c r="D18"/>
  <c r="D19" s="1"/>
  <c r="D20" s="1"/>
  <c r="D27" s="1"/>
  <c r="D35" s="1"/>
  <c r="E18"/>
  <c r="E19" s="1"/>
  <c r="E20" s="1"/>
  <c r="E27" s="1"/>
  <c r="E35" s="1"/>
  <c r="F18"/>
  <c r="F19" s="1"/>
  <c r="F20" s="1"/>
  <c r="F27" s="1"/>
  <c r="F35" s="1"/>
  <c r="F37" s="1"/>
  <c r="F38" s="1"/>
  <c r="G18"/>
  <c r="G19" s="1"/>
  <c r="G20" s="1"/>
  <c r="G27" s="1"/>
  <c r="G35" s="1"/>
  <c r="G37" s="1"/>
  <c r="G38" s="1"/>
  <c r="H18"/>
  <c r="H19" s="1"/>
  <c r="H20" s="1"/>
  <c r="H27" s="1"/>
  <c r="H35" s="1"/>
  <c r="I18"/>
  <c r="I19" s="1"/>
  <c r="I20" s="1"/>
  <c r="I27" s="1"/>
  <c r="I35" s="1"/>
  <c r="J18"/>
  <c r="J19" s="1"/>
  <c r="J20" s="1"/>
  <c r="J27" s="1"/>
  <c r="J35" s="1"/>
  <c r="J37" s="1"/>
  <c r="J38" s="1"/>
  <c r="K18"/>
  <c r="K19" s="1"/>
  <c r="K20" s="1"/>
  <c r="K27" s="1"/>
  <c r="K35" s="1"/>
  <c r="K37" s="1"/>
  <c r="K38" s="1"/>
  <c r="L18"/>
  <c r="L19" s="1"/>
  <c r="L20" s="1"/>
  <c r="L27" s="1"/>
  <c r="L35" s="1"/>
  <c r="O16"/>
  <c r="O17"/>
  <c r="O21"/>
  <c r="O22"/>
  <c r="O23"/>
  <c r="O24"/>
  <c r="O25"/>
  <c r="O26"/>
  <c r="O28"/>
  <c r="O29"/>
  <c r="O30"/>
  <c r="O31"/>
  <c r="O32"/>
  <c r="O33"/>
  <c r="O34"/>
  <c r="O36"/>
  <c r="O15"/>
  <c r="P18"/>
  <c r="P19" s="1"/>
  <c r="Q18"/>
  <c r="Q19" s="1"/>
  <c r="C18"/>
  <c r="C19" s="1"/>
  <c r="C20" s="1"/>
  <c r="E25" i="8"/>
  <c r="F7" i="5" l="1"/>
  <c r="C8" s="1"/>
  <c r="F8" s="1"/>
  <c r="E6"/>
  <c r="E7"/>
  <c r="H37"/>
  <c r="H38" s="1"/>
  <c r="M37"/>
  <c r="M38" s="1"/>
  <c r="D37"/>
  <c r="D38" s="1"/>
  <c r="I37"/>
  <c r="I38" s="1"/>
  <c r="E37"/>
  <c r="E38" s="1"/>
  <c r="L37"/>
  <c r="L38" s="1"/>
  <c r="O20"/>
  <c r="O27" s="1"/>
  <c r="O19"/>
  <c r="O18"/>
  <c r="C27"/>
  <c r="E24" i="8"/>
  <c r="E23"/>
  <c r="E22"/>
  <c r="E11" i="13"/>
  <c r="E8" i="5" l="1"/>
  <c r="E9" s="1"/>
  <c r="P20"/>
  <c r="Q20" s="1"/>
  <c r="Q27" s="1"/>
  <c r="C35"/>
  <c r="O35" s="1"/>
  <c r="F27" i="14"/>
  <c r="D27"/>
  <c r="H5" i="7"/>
  <c r="I5" s="1"/>
  <c r="D31" i="13"/>
  <c r="G31" s="1"/>
  <c r="C12" i="7"/>
  <c r="D30" i="14"/>
  <c r="G30" s="1"/>
  <c r="G28"/>
  <c r="D26"/>
  <c r="D29" i="13"/>
  <c r="E5" i="14"/>
  <c r="E6" s="1"/>
  <c r="P19"/>
  <c r="C33"/>
  <c r="G32"/>
  <c r="F26"/>
  <c r="D13"/>
  <c r="C13"/>
  <c r="F12"/>
  <c r="F11"/>
  <c r="G27" l="1"/>
  <c r="P27" i="5"/>
  <c r="C37"/>
  <c r="P20" i="14"/>
  <c r="C53" s="1"/>
  <c r="I11"/>
  <c r="I12"/>
  <c r="F5"/>
  <c r="G5" s="1"/>
  <c r="H5" s="1"/>
  <c r="F13"/>
  <c r="G26"/>
  <c r="P24" i="13"/>
  <c r="C51" s="1"/>
  <c r="F29"/>
  <c r="E5"/>
  <c r="G31" i="14" s="1"/>
  <c r="D18" i="13"/>
  <c r="C18"/>
  <c r="F17"/>
  <c r="I17" s="1"/>
  <c r="F16"/>
  <c r="I16" s="1"/>
  <c r="C64" i="1"/>
  <c r="P20" i="10"/>
  <c r="D27" s="1"/>
  <c r="P21"/>
  <c r="C56" s="1"/>
  <c r="P22"/>
  <c r="Q22" s="1"/>
  <c r="D70"/>
  <c r="C81"/>
  <c r="C72"/>
  <c r="F70"/>
  <c r="F72" s="1"/>
  <c r="F27"/>
  <c r="F30" s="1"/>
  <c r="D30"/>
  <c r="F48"/>
  <c r="F52" s="1"/>
  <c r="C52"/>
  <c r="E6"/>
  <c r="E5"/>
  <c r="C14"/>
  <c r="D14"/>
  <c r="F13"/>
  <c r="K3" i="9"/>
  <c r="I3"/>
  <c r="E3"/>
  <c r="C3"/>
  <c r="F12" i="10"/>
  <c r="B11" i="9"/>
  <c r="H11"/>
  <c r="D11"/>
  <c r="J11"/>
  <c r="C38" i="5" l="1"/>
  <c r="O37"/>
  <c r="I13" i="14"/>
  <c r="F6"/>
  <c r="G6"/>
  <c r="H6"/>
  <c r="F18" i="13"/>
  <c r="F5"/>
  <c r="F6" s="1"/>
  <c r="C37" s="1"/>
  <c r="E6"/>
  <c r="G30" s="1"/>
  <c r="I18"/>
  <c r="G29"/>
  <c r="G70" i="10"/>
  <c r="G71" s="1"/>
  <c r="G72" s="1"/>
  <c r="C80" s="1"/>
  <c r="D82" s="1"/>
  <c r="C75" i="1" s="1"/>
  <c r="D72" i="10"/>
  <c r="E7"/>
  <c r="F14"/>
  <c r="F5"/>
  <c r="F6"/>
  <c r="G6" s="1"/>
  <c r="H6" s="1"/>
  <c r="I13"/>
  <c r="I12"/>
  <c r="P15" i="5" l="1"/>
  <c r="O38"/>
  <c r="C38" i="14"/>
  <c r="G5" i="13"/>
  <c r="G5" i="10"/>
  <c r="H5" s="1"/>
  <c r="F7"/>
  <c r="D49" i="1"/>
  <c r="E49" s="1"/>
  <c r="F49" s="1"/>
  <c r="H5" i="13" l="1"/>
  <c r="H6" s="1"/>
  <c r="G6"/>
  <c r="G32"/>
  <c r="C40" s="1"/>
  <c r="H7" i="10"/>
  <c r="G7"/>
  <c r="E12" i="7"/>
  <c r="C34" i="1"/>
  <c r="F32"/>
  <c r="I32" s="1"/>
  <c r="F33"/>
  <c r="I33" s="1"/>
  <c r="D34"/>
  <c r="Q21" i="10"/>
  <c r="E43" i="8"/>
  <c r="C5" i="7"/>
  <c r="E5" s="1"/>
  <c r="E4"/>
  <c r="D50" i="1"/>
  <c r="E50" s="1"/>
  <c r="F50" s="1"/>
  <c r="D48"/>
  <c r="E48" s="1"/>
  <c r="F48" s="1"/>
  <c r="D47"/>
  <c r="E40"/>
  <c r="F40" s="1"/>
  <c r="D42"/>
  <c r="E42" s="1"/>
  <c r="F42" s="1"/>
  <c r="D43"/>
  <c r="E43" s="1"/>
  <c r="F43" s="1"/>
  <c r="D45"/>
  <c r="E45" s="1"/>
  <c r="F45" s="1"/>
  <c r="D46"/>
  <c r="E46" s="1"/>
  <c r="F46" s="1"/>
  <c r="D52"/>
  <c r="E52" s="1"/>
  <c r="F52" s="1"/>
  <c r="D53"/>
  <c r="E53" s="1"/>
  <c r="F53" s="1"/>
  <c r="D41"/>
  <c r="E41" s="1"/>
  <c r="C38" i="8"/>
  <c r="C44" s="1"/>
  <c r="D7"/>
  <c r="F7" s="1"/>
  <c r="F8"/>
  <c r="C17"/>
  <c r="E28" s="1"/>
  <c r="E6"/>
  <c r="F6" s="1"/>
  <c r="F5"/>
  <c r="E39"/>
  <c r="E41"/>
  <c r="G41" s="1"/>
  <c r="E42"/>
  <c r="G42" s="1"/>
  <c r="E40"/>
  <c r="G40" s="1"/>
  <c r="C9" i="1"/>
  <c r="G43" i="8" l="1"/>
  <c r="G11" i="14"/>
  <c r="G12"/>
  <c r="H12" s="1"/>
  <c r="J16" i="13"/>
  <c r="G17"/>
  <c r="H17" s="1"/>
  <c r="J12" i="14"/>
  <c r="K12" s="1"/>
  <c r="J17" i="13"/>
  <c r="K17" s="1"/>
  <c r="G16"/>
  <c r="J11" i="14"/>
  <c r="E13" i="7"/>
  <c r="F12"/>
  <c r="F13" s="1"/>
  <c r="G4"/>
  <c r="D48" i="10"/>
  <c r="D52" s="1"/>
  <c r="E6" i="7"/>
  <c r="G13" i="10"/>
  <c r="H13" s="1"/>
  <c r="J13"/>
  <c r="K13" s="1"/>
  <c r="C46" i="8"/>
  <c r="G39"/>
  <c r="F11" i="9"/>
  <c r="G3"/>
  <c r="G27" i="10"/>
  <c r="C47" i="8"/>
  <c r="G12" i="10"/>
  <c r="J12"/>
  <c r="C55" i="8"/>
  <c r="E47" i="1"/>
  <c r="J33"/>
  <c r="K33" s="1"/>
  <c r="J32"/>
  <c r="I34"/>
  <c r="G32"/>
  <c r="H32" s="1"/>
  <c r="G33"/>
  <c r="H33" s="1"/>
  <c r="F34"/>
  <c r="E38" i="8"/>
  <c r="G38" s="1"/>
  <c r="E8" i="7"/>
  <c r="G8" s="1"/>
  <c r="C7"/>
  <c r="E7" s="1"/>
  <c r="F41" i="1"/>
  <c r="F9" i="8"/>
  <c r="E26" s="1"/>
  <c r="F29" i="14" l="1"/>
  <c r="G29" s="1"/>
  <c r="G33" s="1"/>
  <c r="C41" s="1"/>
  <c r="C48" i="8"/>
  <c r="H16" i="13"/>
  <c r="H18" s="1"/>
  <c r="G18"/>
  <c r="K11" i="14"/>
  <c r="K13" s="1"/>
  <c r="C37" s="1"/>
  <c r="J13"/>
  <c r="K16" i="13"/>
  <c r="K18" s="1"/>
  <c r="C36" s="1"/>
  <c r="J18"/>
  <c r="H11" i="14"/>
  <c r="H13" s="1"/>
  <c r="G13"/>
  <c r="G12" i="7"/>
  <c r="G13" s="1"/>
  <c r="H4"/>
  <c r="H8"/>
  <c r="I8" s="1"/>
  <c r="E9"/>
  <c r="D42" i="13"/>
  <c r="C76" i="1" s="1"/>
  <c r="G48" i="10"/>
  <c r="G51" s="1"/>
  <c r="G52" s="1"/>
  <c r="C60" s="1"/>
  <c r="D62" s="1"/>
  <c r="C74" i="1" s="1"/>
  <c r="G6" i="7"/>
  <c r="H6" s="1"/>
  <c r="I6" s="1"/>
  <c r="G14" i="10"/>
  <c r="J14"/>
  <c r="G29"/>
  <c r="G30" s="1"/>
  <c r="C38" s="1"/>
  <c r="H12"/>
  <c r="K12"/>
  <c r="K14" s="1"/>
  <c r="E44" i="8"/>
  <c r="F39" s="1"/>
  <c r="E30"/>
  <c r="C32" s="1"/>
  <c r="C58"/>
  <c r="C59" s="1"/>
  <c r="C4" i="15" s="1"/>
  <c r="F47" i="1"/>
  <c r="K32"/>
  <c r="K34" s="1"/>
  <c r="D39" s="1"/>
  <c r="D55" s="1"/>
  <c r="C66" s="1"/>
  <c r="J34"/>
  <c r="G7" i="7"/>
  <c r="H7" s="1"/>
  <c r="I7" s="1"/>
  <c r="D44" i="1"/>
  <c r="H34"/>
  <c r="C39" s="1"/>
  <c r="C55" s="1"/>
  <c r="G34"/>
  <c r="B52" i="5"/>
  <c r="B46"/>
  <c r="B45"/>
  <c r="C14" i="1"/>
  <c r="F11" i="13" s="1"/>
  <c r="G11" s="1"/>
  <c r="H11" s="1"/>
  <c r="C48" l="1"/>
  <c r="E39" i="1"/>
  <c r="B29" i="7"/>
  <c r="D40" i="10"/>
  <c r="C73" i="1" s="1"/>
  <c r="C93" i="10"/>
  <c r="H9" i="7"/>
  <c r="B18" s="1"/>
  <c r="I4"/>
  <c r="I9" s="1"/>
  <c r="C50" i="14" s="1"/>
  <c r="C76" i="10"/>
  <c r="C34"/>
  <c r="F42" i="8"/>
  <c r="G9" i="7"/>
  <c r="F38" i="8"/>
  <c r="F40"/>
  <c r="F41"/>
  <c r="F43"/>
  <c r="C60"/>
  <c r="I14" i="10"/>
  <c r="H14"/>
  <c r="C45" i="8"/>
  <c r="E44" i="1"/>
  <c r="E55" l="1"/>
  <c r="B19" i="7"/>
  <c r="C40" i="14"/>
  <c r="D43" s="1"/>
  <c r="C77" i="1" s="1"/>
  <c r="C78" s="1"/>
  <c r="D76" s="1"/>
  <c r="B17" i="7"/>
  <c r="F39" i="1"/>
  <c r="C91" i="10"/>
  <c r="F44" i="8"/>
  <c r="F44" i="1"/>
  <c r="B30" i="7" l="1"/>
  <c r="F55" i="1"/>
  <c r="D75"/>
  <c r="C75" i="10" s="1"/>
  <c r="D73" i="1"/>
  <c r="C33" i="10" s="1"/>
  <c r="D74" i="1"/>
  <c r="C55" i="10" s="1"/>
  <c r="D77" i="1"/>
  <c r="C36" i="14" s="1"/>
  <c r="E73" i="1"/>
  <c r="C99" i="10"/>
  <c r="C43" i="14" l="1"/>
  <c r="C44" s="1"/>
  <c r="C45" s="1"/>
  <c r="C46" s="1"/>
  <c r="C90" i="10"/>
  <c r="C35" i="13"/>
  <c r="C42" s="1"/>
  <c r="D78" i="1"/>
  <c r="E62" i="10"/>
  <c r="E82"/>
  <c r="E40"/>
  <c r="C47" i="14" l="1"/>
  <c r="C51" s="1"/>
  <c r="C52" s="1"/>
  <c r="C54" s="1"/>
  <c r="C56" s="1"/>
  <c r="H4" i="15" s="1"/>
  <c r="C43" i="13"/>
  <c r="C77" i="10"/>
  <c r="C57"/>
  <c r="C35"/>
  <c r="H5" i="15" l="1"/>
  <c r="I5" s="1"/>
  <c r="I4"/>
  <c r="C44" i="13"/>
  <c r="C45" s="1"/>
  <c r="C92" i="10"/>
  <c r="C49" i="13"/>
  <c r="C50" s="1"/>
  <c r="C62" i="10"/>
  <c r="C82"/>
  <c r="C40"/>
  <c r="C41" s="1"/>
  <c r="C52" i="13" l="1"/>
  <c r="C42" i="10"/>
  <c r="C43" s="1"/>
  <c r="B25" i="7"/>
  <c r="C83" i="10"/>
  <c r="C63"/>
  <c r="B26" i="7" s="1"/>
  <c r="C54" i="13" l="1"/>
  <c r="F4" i="15" s="1"/>
  <c r="G43" i="10"/>
  <c r="H43"/>
  <c r="C84"/>
  <c r="C85" s="1"/>
  <c r="B27" i="7"/>
  <c r="B31" s="1"/>
  <c r="C64" i="10"/>
  <c r="C65" s="1"/>
  <c r="G65" s="1"/>
  <c r="C95"/>
  <c r="C96" s="1"/>
  <c r="F5" i="15" l="1"/>
  <c r="G5" s="1"/>
  <c r="G4"/>
  <c r="D4"/>
  <c r="D5" s="1"/>
  <c r="E5" s="1"/>
  <c r="J5" l="1"/>
  <c r="E4"/>
  <c r="J4" s="1"/>
</calcChain>
</file>

<file path=xl/comments1.xml><?xml version="1.0" encoding="utf-8"?>
<comments xmlns="http://schemas.openxmlformats.org/spreadsheetml/2006/main">
  <authors>
    <author>В.К.</author>
    <author>Denis</author>
    <author>Konon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Нараховується тільки на послуги НЕ членам СОК або в разі реалізації продукції переробки</t>
        </r>
      </text>
    </comment>
    <comment ref="B36" authorId="1">
      <text>
        <r>
          <rPr>
            <b/>
            <sz val="8"/>
            <color indexed="81"/>
            <rFont val="Tahoma"/>
            <family val="2"/>
            <charset val="204"/>
          </rPr>
          <t>Якщо не планується здійснювати всі витрати - видаліть непотрібні строки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Konon:</t>
        </r>
        <r>
          <rPr>
            <sz val="9"/>
            <color indexed="81"/>
            <rFont val="Tahoma"/>
            <family val="2"/>
            <charset val="204"/>
          </rPr>
          <t xml:space="preserve">
Не послуга СОК. Наприклад, використання власного транспорту для відряджень</t>
        </r>
      </text>
    </comment>
    <comment ref="B44" authorId="0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Страхування офісного обладнання\будівель</t>
        </r>
      </text>
    </comment>
    <comment ref="B45" authorId="0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Канцтовари/інш.витратні</t>
        </r>
      </text>
    </comment>
    <comment ref="B50" authorId="0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В разі наявності приіщення на балансі СОК</t>
        </r>
      </text>
    </comment>
  </commentList>
</comments>
</file>

<file path=xl/comments2.xml><?xml version="1.0" encoding="utf-8"?>
<comments xmlns="http://schemas.openxmlformats.org/spreadsheetml/2006/main">
  <authors>
    <author>Kononenko</author>
    <author>В.К.</author>
  </authors>
  <commentList>
    <comment ref="E26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Див.техн.паспорт техніки чи з практики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Тільки обладнання, яке використовується на послузі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Вкажіть назву орендованого обладнання/майна</t>
        </r>
      </text>
    </comment>
    <comment ref="E47" authorId="1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Дивись технічні дані трактора. Вказаний обсяг відповідає трактору МТЗ-80</t>
        </r>
      </text>
    </comment>
    <comment ref="B61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Вкажіть назву орендованого обладнання/майна</t>
        </r>
      </text>
    </comment>
    <comment ref="E69" authorId="1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Дивись технічні дані трактора. Вказаний обсяг відповідає трактору МТЗ-80</t>
        </r>
      </text>
    </comment>
    <comment ref="B81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Вкажіть назву орендованого обладнання/майна</t>
        </r>
      </text>
    </comment>
    <comment ref="B94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Вкажіть назву орендованого обладнання/майна</t>
        </r>
      </text>
    </comment>
  </commentList>
</comments>
</file>

<file path=xl/comments3.xml><?xml version="1.0" encoding="utf-8"?>
<comments xmlns="http://schemas.openxmlformats.org/spreadsheetml/2006/main">
  <authors>
    <author>Kononenko</author>
  </authors>
  <commentList>
    <comment ref="E28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Див.техн.паспорт техніки чи з практики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Kononenko:</t>
        </r>
        <r>
          <rPr>
            <sz val="9"/>
            <color indexed="81"/>
            <rFont val="Tahoma"/>
            <family val="2"/>
            <charset val="204"/>
          </rPr>
          <t xml:space="preserve">
24 години х 30 днів х 2 місяця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Тільки обладнання, яке використовується на послузі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Вкажіть назву орендованого обладнання/майна</t>
        </r>
      </text>
    </comment>
  </commentList>
</comments>
</file>

<file path=xl/comments4.xml><?xml version="1.0" encoding="utf-8"?>
<comments xmlns="http://schemas.openxmlformats.org/spreadsheetml/2006/main">
  <authors>
    <author>Kononenko</author>
  </authors>
  <commentList>
    <comment ref="E25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Див.техн.паспорт техніки чи з практики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Kononenko:</t>
        </r>
        <r>
          <rPr>
            <sz val="9"/>
            <color indexed="81"/>
            <rFont val="Tahoma"/>
            <family val="2"/>
            <charset val="204"/>
          </rPr>
          <t xml:space="preserve">
24 години х 30 днів х 10 місяців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Kononenko:</t>
        </r>
        <r>
          <rPr>
            <sz val="9"/>
            <color indexed="81"/>
            <rFont val="Tahoma"/>
            <family val="2"/>
            <charset val="204"/>
          </rPr>
          <t xml:space="preserve">
200 км х 8 разів на місяць х 12 місяців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Kononenko:</t>
        </r>
        <r>
          <rPr>
            <sz val="9"/>
            <color indexed="81"/>
            <rFont val="Tahoma"/>
            <charset val="1"/>
          </rPr>
          <t xml:space="preserve">
Тільки обладнання, яке використовується на послузі</t>
        </r>
      </text>
    </comment>
  </commentList>
</comments>
</file>

<file path=xl/comments5.xml><?xml version="1.0" encoding="utf-8"?>
<comments xmlns="http://schemas.openxmlformats.org/spreadsheetml/2006/main">
  <authors>
    <author>В.К.</author>
    <author>Kononenko</author>
  </authors>
  <commentLis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В.К.:</t>
        </r>
        <r>
          <rPr>
            <sz val="8"/>
            <color indexed="81"/>
            <rFont val="Tahoma"/>
            <family val="2"/>
            <charset val="204"/>
          </rPr>
          <t xml:space="preserve">
Перевірка Е27 - С39</t>
        </r>
      </text>
    </comment>
    <comment ref="C60" authorId="1">
      <text>
        <r>
          <rPr>
            <b/>
            <sz val="9"/>
            <color indexed="81"/>
            <rFont val="Tahoma"/>
            <family val="2"/>
            <charset val="204"/>
          </rPr>
          <t>Kononenko:</t>
        </r>
        <r>
          <rPr>
            <sz val="9"/>
            <color indexed="81"/>
            <rFont val="Tahoma"/>
            <family val="2"/>
            <charset val="204"/>
          </rPr>
          <t xml:space="preserve">
перевірка С52 - С42</t>
        </r>
      </text>
    </comment>
  </commentList>
</comments>
</file>

<file path=xl/sharedStrings.xml><?xml version="1.0" encoding="utf-8"?>
<sst xmlns="http://schemas.openxmlformats.org/spreadsheetml/2006/main" count="646" uniqueCount="373">
  <si>
    <t>будівель</t>
  </si>
  <si>
    <t>асоційованим членам</t>
  </si>
  <si>
    <t>…</t>
  </si>
  <si>
    <t>Назва</t>
  </si>
  <si>
    <t>Кількість</t>
  </si>
  <si>
    <t>ВСЬОГО:</t>
  </si>
  <si>
    <t>% від ставки</t>
  </si>
  <si>
    <t>РАЗОМ:</t>
  </si>
  <si>
    <t>Повна ставка на місяць</t>
  </si>
  <si>
    <t>л</t>
  </si>
  <si>
    <t>кВт/год</t>
  </si>
  <si>
    <t xml:space="preserve">Назва </t>
  </si>
  <si>
    <t>Відрядження</t>
  </si>
  <si>
    <t>Транспортні витрати</t>
  </si>
  <si>
    <t>Юридичні послуги</t>
  </si>
  <si>
    <t>Страхування</t>
  </si>
  <si>
    <t>Пошта</t>
  </si>
  <si>
    <t>Загальні операційні витрати</t>
  </si>
  <si>
    <t>Варт. 1, грн.</t>
  </si>
  <si>
    <t>Курс $/грн.</t>
  </si>
  <si>
    <t>членам СОК на додаткові паї</t>
  </si>
  <si>
    <t>Назва показників</t>
  </si>
  <si>
    <t>Наявність на початок року</t>
  </si>
  <si>
    <t>Витрати</t>
  </si>
  <si>
    <t>Залишок на кінець року</t>
  </si>
  <si>
    <t>Загальні адміністративні витрати</t>
  </si>
  <si>
    <t>Адміністрація кооперативу</t>
  </si>
  <si>
    <t>Працівники</t>
  </si>
  <si>
    <t>Од. виміру</t>
  </si>
  <si>
    <t>ПДВ</t>
  </si>
  <si>
    <t>П.І.Б. члена СОК</t>
  </si>
  <si>
    <t>Розумний І.І.</t>
  </si>
  <si>
    <t>Швидка О.П.</t>
  </si>
  <si>
    <t>Користування Інтернетом</t>
  </si>
  <si>
    <t>Інформаційні матеріали</t>
  </si>
  <si>
    <t>Обслуговування оргтехніки/витратні</t>
  </si>
  <si>
    <t>Одиниці виміру</t>
  </si>
  <si>
    <t>2 рік</t>
  </si>
  <si>
    <t>3 рік</t>
  </si>
  <si>
    <t>Відрахування у фонди, %</t>
  </si>
  <si>
    <t>Нарахування на паї , %</t>
  </si>
  <si>
    <t>офісного обладнання</t>
  </si>
  <si>
    <t>обладнання</t>
  </si>
  <si>
    <t>Амортизація:</t>
  </si>
  <si>
    <t>Податки і відрахування</t>
  </si>
  <si>
    <t>Характеристики кооперативу</t>
  </si>
  <si>
    <t>Мінімальний рівень - 2% від вартості будівель</t>
  </si>
  <si>
    <t>Загальні вхідні дані</t>
  </si>
  <si>
    <t>Адміністративні витрати</t>
  </si>
  <si>
    <t>Фактична зарплата/міс</t>
  </si>
  <si>
    <t>Посада</t>
  </si>
  <si>
    <t>1 рік</t>
  </si>
  <si>
    <t>Постійні операційні витрати</t>
  </si>
  <si>
    <t>Витрати на персонал</t>
  </si>
  <si>
    <t>км</t>
  </si>
  <si>
    <t>ФОП</t>
  </si>
  <si>
    <t>Виручка від діяльності</t>
  </si>
  <si>
    <t>Операційний дохід</t>
  </si>
  <si>
    <t>Прямі витрати на послуги членам СОК</t>
  </si>
  <si>
    <t>Амортизація</t>
  </si>
  <si>
    <t>Будівлі</t>
  </si>
  <si>
    <t>Обладнання</t>
  </si>
  <si>
    <t>Оргтехніка</t>
  </si>
  <si>
    <t>Від виручки з послуг, що надаються на комерційній основі</t>
  </si>
  <si>
    <t>Фінансові результати</t>
  </si>
  <si>
    <t>Податок на прибуток</t>
  </si>
  <si>
    <t xml:space="preserve">Єдиний податок </t>
  </si>
  <si>
    <t>Від прибутку</t>
  </si>
  <si>
    <t>Звіт про фінансові результати</t>
  </si>
  <si>
    <t>Рух грошових коштів</t>
  </si>
  <si>
    <t>Інвестиційні</t>
  </si>
  <si>
    <t>Разом надходження</t>
  </si>
  <si>
    <t>Інвестиційні витрати</t>
  </si>
  <si>
    <t>Операційні витрати</t>
  </si>
  <si>
    <t>Податки і збори</t>
  </si>
  <si>
    <t>Мінімальна норма - 10%. Розраховується від вартості обладнання</t>
  </si>
  <si>
    <t>РАЗОМ адміністрація:</t>
  </si>
  <si>
    <t>Телефон/Факс</t>
  </si>
  <si>
    <t>Реєстрація СОК</t>
  </si>
  <si>
    <t>Нарахування на ФОП, рік</t>
  </si>
  <si>
    <t xml:space="preserve">Не більше 20%. Нараховується на валовий дохід. Сплачується асоційованим членам СОК, які надали  грошові суми для отримання додаткових нарахувань на паї. </t>
  </si>
  <si>
    <t>Не більше 10%. Нараховується на валовий дохід. Сплачуєтясь членам СОК, які надали додаткові грошові суми для отримання додаткових нарахувань на паї</t>
  </si>
  <si>
    <t>Не більше 10%. Нараховується на валовий дохід. Рекомендується спрямовувати на розвиток СОК.</t>
  </si>
  <si>
    <t>Площа землі обприскування, га</t>
  </si>
  <si>
    <t>Площа землі оранка, га</t>
  </si>
  <si>
    <t>Збереження черешень, кг</t>
  </si>
  <si>
    <t>Виконавчий директор</t>
  </si>
  <si>
    <t>Бухгалтер</t>
  </si>
  <si>
    <t>Нарахування на ФОП, місяць</t>
  </si>
  <si>
    <t>Разом, рік</t>
  </si>
  <si>
    <t>Разом, місяць</t>
  </si>
  <si>
    <t>№</t>
  </si>
  <si>
    <t>Трактор МТЗ-80</t>
  </si>
  <si>
    <t>Рефрижераторний контейнер High cube</t>
  </si>
  <si>
    <t>Плуг</t>
  </si>
  <si>
    <t>Дозволи</t>
  </si>
  <si>
    <r>
      <t>РАЗОМ</t>
    </r>
    <r>
      <rPr>
        <i/>
        <sz val="12"/>
        <color rgb="FF000080"/>
        <rFont val="Arial"/>
        <family val="2"/>
        <charset val="204"/>
      </rPr>
      <t>:</t>
    </r>
  </si>
  <si>
    <t>Кошторис проекту</t>
  </si>
  <si>
    <t>Інженірінг проекту</t>
  </si>
  <si>
    <t>Обігові кошти (паливо, електроенергія, засоби хімізації, насіння, інше)</t>
  </si>
  <si>
    <t>Партнери з виконання проекту</t>
  </si>
  <si>
    <t>Характер та сума внеску (гривень)</t>
  </si>
  <si>
    <t>Частина у фінан-суванні</t>
  </si>
  <si>
    <t>Фінансовий внесок</t>
  </si>
  <si>
    <t>Всього</t>
  </si>
  <si>
    <t>МРГ - ІІ</t>
  </si>
  <si>
    <t>Члени СОК</t>
  </si>
  <si>
    <t>Сільська рада</t>
  </si>
  <si>
    <t>Районна влада</t>
  </si>
  <si>
    <t>Приватні підприємці/спонсори</t>
  </si>
  <si>
    <t>Розподіл фінансування між учасниками проекту</t>
  </si>
  <si>
    <t>Нефінан-совий внесок</t>
  </si>
  <si>
    <t>Обігові кошти для початку діяльності</t>
  </si>
  <si>
    <t>кг</t>
  </si>
  <si>
    <t>Дизельне паливо</t>
  </si>
  <si>
    <t>Електроенергія</t>
  </si>
  <si>
    <t>кВт</t>
  </si>
  <si>
    <t>Виготовлення ПКД реконструкції приміщення</t>
  </si>
  <si>
    <t>Виготовлення бізнес-плану</t>
  </si>
  <si>
    <t>Лімонна кислота</t>
  </si>
  <si>
    <t>Страхування обладнання та приміщень</t>
  </si>
  <si>
    <t>Технічне обслуговування техніки</t>
  </si>
  <si>
    <t>Нараховується на вартість обладнання та приміщень</t>
  </si>
  <si>
    <t>Нараховується на вартість техніки</t>
  </si>
  <si>
    <t>га</t>
  </si>
  <si>
    <t>Всього, га</t>
  </si>
  <si>
    <t>Назва кроку</t>
  </si>
  <si>
    <t>Вартість, грн.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</si>
  <si>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</si>
  <si>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</si>
  <si>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t>Розробка бiзнес-плану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</si>
  <si>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</si>
  <si>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t>Розробка/затвердження МПП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</si>
  <si>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</si>
  <si>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t>Проведення тендеру, підписання контракту на поставку обладнання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</si>
  <si>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</si>
  <si>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t>Закупівля обладнання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</si>
  <si>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</si>
  <si>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0"/>
        <color theme="1"/>
        <rFont val="Arial"/>
        <family val="2"/>
        <charset val="204"/>
      </rPr>
      <t> </t>
    </r>
  </si>
  <si>
    <t>Поставка обладнання, пусконалагоджувальні роботи</t>
  </si>
  <si>
    <t>Введення в дію</t>
  </si>
  <si>
    <t>Молока, л</t>
  </si>
  <si>
    <t>Обрахування зобов"язань членів СОК (потреба у послугах) на рік</t>
  </si>
  <si>
    <t>Всього витрат</t>
  </si>
  <si>
    <t>Сир домашній нежирний</t>
  </si>
  <si>
    <t>Бринза домашня</t>
  </si>
  <si>
    <t>Масло</t>
  </si>
  <si>
    <t>Сировина</t>
  </si>
  <si>
    <t>молоко</t>
  </si>
  <si>
    <t>Обсяг готової продукції, кг</t>
  </si>
  <si>
    <t>Кількість сировини</t>
  </si>
  <si>
    <t>Продукт</t>
  </si>
  <si>
    <t>збиране молоко</t>
  </si>
  <si>
    <t>сметана</t>
  </si>
  <si>
    <t>Витрати сировини на 1-цю продукції, кг</t>
  </si>
  <si>
    <t>Заготівля кормів та перевезення, км</t>
  </si>
  <si>
    <t>І</t>
  </si>
  <si>
    <t>ІІ</t>
  </si>
  <si>
    <t>ІІІ</t>
  </si>
  <si>
    <t>ІV</t>
  </si>
  <si>
    <t>V</t>
  </si>
  <si>
    <t>VI</t>
  </si>
  <si>
    <t>VII</t>
  </si>
  <si>
    <t>VIII</t>
  </si>
  <si>
    <t>ІX</t>
  </si>
  <si>
    <t>X</t>
  </si>
  <si>
    <t>XI</t>
  </si>
  <si>
    <t>XII</t>
  </si>
  <si>
    <t>Оранка</t>
  </si>
  <si>
    <t>Обприскування</t>
  </si>
  <si>
    <t xml:space="preserve">Заготівля кормів та транспортування </t>
  </si>
  <si>
    <t>Зберігання черешень</t>
  </si>
  <si>
    <t>т</t>
  </si>
  <si>
    <t>Графік навантажень</t>
  </si>
  <si>
    <t>Щомісячне завантаження</t>
  </si>
  <si>
    <t>Тракторист</t>
  </si>
  <si>
    <t>Вартість 1-ці, грн.</t>
  </si>
  <si>
    <t>Сметана на продаж</t>
  </si>
  <si>
    <t>Сметана на переробку</t>
  </si>
  <si>
    <t>Консультації з …</t>
  </si>
  <si>
    <t>Сепаратор «Мотор Січ СЦМ 500»</t>
  </si>
  <si>
    <t>Інші (благодійна організація)</t>
  </si>
  <si>
    <t>Послуги сепаратором</t>
  </si>
  <si>
    <t>Лимонна кислота</t>
  </si>
  <si>
    <t>шт.</t>
  </si>
  <si>
    <t>Оренда автомобіля</t>
  </si>
  <si>
    <t>Черешня</t>
  </si>
  <si>
    <t>Вартість реалізації 1, грн.</t>
  </si>
  <si>
    <t>ВСЬОГО надходжень, грн.</t>
  </si>
  <si>
    <t>Зарплата на рік</t>
  </si>
  <si>
    <t>кг кислоти</t>
  </si>
  <si>
    <t>Комунальні витрати</t>
  </si>
  <si>
    <t>Амортизація приміщення</t>
  </si>
  <si>
    <t>Оренда офісу</t>
  </si>
  <si>
    <t>1 рік, грн.</t>
  </si>
  <si>
    <t>2 рік, грн.</t>
  </si>
  <si>
    <t>3 рік, грн.</t>
  </si>
  <si>
    <t>Заплановані витрати на місяць, грн.</t>
  </si>
  <si>
    <t>Інші додаткові витрати (реєстрація та інш.)</t>
  </si>
  <si>
    <t>Отримання дозволів</t>
  </si>
  <si>
    <t>Всього:</t>
  </si>
  <si>
    <t>Амортизація обладнання</t>
  </si>
  <si>
    <t>Амортизація 1 рік</t>
  </si>
  <si>
    <t>Дизпаливо</t>
  </si>
  <si>
    <t>Закупівля банок прозорих з пластіковою кришкою, 500 мл</t>
  </si>
  <si>
    <t>Засоби захисту рослин</t>
  </si>
  <si>
    <t>Всього надходжень</t>
  </si>
  <si>
    <t>РАЗОМ ПОСТІЙНІ ОПЕРАЦІЙНІ ВИТРАТИ:</t>
  </si>
  <si>
    <t>Внесок всіх органів влади</t>
  </si>
  <si>
    <t>%</t>
  </si>
  <si>
    <t>перевірка</t>
  </si>
  <si>
    <t>У $</t>
  </si>
  <si>
    <t>у %</t>
  </si>
  <si>
    <t>Планується збільшити до</t>
  </si>
  <si>
    <t>Техніка</t>
  </si>
  <si>
    <t>Зарплата працівників  з нарахуваннями</t>
  </si>
  <si>
    <t>Мастило</t>
  </si>
  <si>
    <t>ПММ</t>
  </si>
  <si>
    <t>Бензин, л</t>
  </si>
  <si>
    <t>Електрика, кВт/год</t>
  </si>
  <si>
    <t>Ціни 1-ці, грн.</t>
  </si>
  <si>
    <t>Дизельне паливо, л</t>
  </si>
  <si>
    <t>5% від ДП</t>
  </si>
  <si>
    <t>Мастило, 5% від ДП</t>
  </si>
  <si>
    <t>Доставка</t>
  </si>
  <si>
    <t>Налагодження</t>
  </si>
  <si>
    <t>Консультації</t>
  </si>
  <si>
    <t>Реєстрація/дозволи</t>
  </si>
  <si>
    <t>Всього витрат, грн.</t>
  </si>
  <si>
    <t>Кільк.осіб</t>
  </si>
  <si>
    <t>Ставка</t>
  </si>
  <si>
    <t>% ставки</t>
  </si>
  <si>
    <t>З/п</t>
  </si>
  <si>
    <t>Нарахування</t>
  </si>
  <si>
    <t>Разом:</t>
  </si>
  <si>
    <t>На рік</t>
  </si>
  <si>
    <t>Всього на рік</t>
  </si>
  <si>
    <t>Всього, км</t>
  </si>
  <si>
    <t>Всього змінних витрат по всім послугам</t>
  </si>
  <si>
    <t>Витрати на оранці</t>
  </si>
  <si>
    <t>Витрати на обприскуванні</t>
  </si>
  <si>
    <t>Витрати на 100 км, л</t>
  </si>
  <si>
    <t>Витрати на 1 га, л</t>
  </si>
  <si>
    <t>Вид послуг</t>
  </si>
  <si>
    <t>ТО -5% від вартості обл.</t>
  </si>
  <si>
    <t>Змінні</t>
  </si>
  <si>
    <t>Змінні витрати на збереженні</t>
  </si>
  <si>
    <t>Збереження черешень у холодильнику</t>
  </si>
  <si>
    <t>Збереження молокопродуктів у холодильнику</t>
  </si>
  <si>
    <t>Реклама</t>
  </si>
  <si>
    <t>Кількість на рік</t>
  </si>
  <si>
    <t>Витрати на 1 -цю</t>
  </si>
  <si>
    <t>Щомісячне заван-таження</t>
  </si>
  <si>
    <t>ТО -% від вартості обл.</t>
  </si>
  <si>
    <t>Трактор</t>
  </si>
  <si>
    <t>оранка</t>
  </si>
  <si>
    <t>обприскування</t>
  </si>
  <si>
    <t>транспортні</t>
  </si>
  <si>
    <t>Переробка молока</t>
  </si>
  <si>
    <t>200 км х 4 рази на міс. х 12 міс</t>
  </si>
  <si>
    <t>Грн.</t>
  </si>
  <si>
    <t>% у витратах по кожній послузі</t>
  </si>
  <si>
    <t>Загальні адміністративні  та операційні послуги</t>
  </si>
  <si>
    <t>Страховка</t>
  </si>
  <si>
    <t>грн.</t>
  </si>
  <si>
    <t>Молоко, л всього</t>
  </si>
  <si>
    <t>Ціна реалізації 1-ці, грн.</t>
  </si>
  <si>
    <t>Вартість 1 га (пай)</t>
  </si>
  <si>
    <t>Вартість 1 км (пай)</t>
  </si>
  <si>
    <t>Відрахування у спецфонд</t>
  </si>
  <si>
    <t>Вартість послуги на 1 л переробленого молока (пай)</t>
  </si>
  <si>
    <t>Електроенергія для холодильника</t>
  </si>
  <si>
    <t>Електроенергія для сепаратора</t>
  </si>
  <si>
    <t>РАЗОМ НАДХОДЖЕНЬ</t>
  </si>
  <si>
    <t>Вигода членів</t>
  </si>
  <si>
    <t>Витрати на збут</t>
  </si>
  <si>
    <t>РЕЗУЛЬТАТ</t>
  </si>
  <si>
    <t>Обсяг переробленого молока</t>
  </si>
  <si>
    <t>На 1 л</t>
  </si>
  <si>
    <t>Приріст на 1 кг:</t>
  </si>
  <si>
    <t>Всього  витрат на збут</t>
  </si>
  <si>
    <t>Реалізація непереробленого молока, грн.</t>
  </si>
  <si>
    <t>Вартість збереження 1 кг (пай)</t>
  </si>
  <si>
    <t>Обсяг реалізованих черешень, кг</t>
  </si>
  <si>
    <t>На 1 кг</t>
  </si>
  <si>
    <t>Реалізація черешень посереднику, грн.</t>
  </si>
  <si>
    <t>ринкова</t>
  </si>
  <si>
    <t>вигода</t>
  </si>
  <si>
    <t>Оренда</t>
  </si>
  <si>
    <t>РАЗОМ, грн.:</t>
  </si>
  <si>
    <t>на оранці</t>
  </si>
  <si>
    <t>на обприскуванні</t>
  </si>
  <si>
    <t>при транспортуванні</t>
  </si>
  <si>
    <t>від послуг</t>
  </si>
  <si>
    <t>трактором, в т.ч.</t>
  </si>
  <si>
    <t>черешень</t>
  </si>
  <si>
    <t>продукції з молока</t>
  </si>
  <si>
    <t>ринкова ціна</t>
  </si>
  <si>
    <t>ефект</t>
  </si>
  <si>
    <t>Обсяг інвестицій на 1-не ЦДГ, грн.</t>
  </si>
  <si>
    <t>Від виручки з послуг, що надаються на комерційній основі або в разі реалізації продукції переробки</t>
  </si>
  <si>
    <t>Нараховується на ФЗП (складається з: Пенсійний фонд - 32%+соц.страхув. - 2,9%+ страхування на вип.безробіття - 1,9%)</t>
  </si>
  <si>
    <t>Відрахування у спеціальний фонд для надання фінансової допомоги членам СОК. Нараховується на валовий дохід в разі реалізації продукції або включається у вартість пая, при наданні послуг технікою, наприклад</t>
  </si>
  <si>
    <t>Канцтовари</t>
  </si>
  <si>
    <t>Ремонтні роботи  у офісі</t>
  </si>
  <si>
    <t>Амортизація будівель</t>
  </si>
  <si>
    <t>віднесено на послугу по збереженню черешень</t>
  </si>
  <si>
    <t>Амортизація будівлі</t>
  </si>
  <si>
    <t>Будівля складу</t>
  </si>
  <si>
    <t>Будівля (в даному розрахунку не використовується - тільки приклад)</t>
  </si>
  <si>
    <t>Змінні (ПММ, електрика, інш.)</t>
  </si>
  <si>
    <t>Інше (оренда причепа ПТС 12 місяців)</t>
  </si>
  <si>
    <t>Інше (вкажіть)</t>
  </si>
  <si>
    <t>Виручка від діяльності без ПДВ</t>
  </si>
  <si>
    <t>Залишок до розподілу</t>
  </si>
  <si>
    <t>% кредиту/лізінгу</t>
  </si>
  <si>
    <t>Сплата кредиту</t>
  </si>
  <si>
    <t>Кооперативні виплати</t>
  </si>
  <si>
    <t>Нерозподілений результат від попереднього року</t>
  </si>
  <si>
    <t>Інші надходження (реалізація продукції членів)</t>
  </si>
  <si>
    <t>ПДВ на реалізацію продукції</t>
  </si>
  <si>
    <t>Надходження коштів від наданих послуг (пайові внески)</t>
  </si>
  <si>
    <t>Відрахування у спеціальний фонд СОК</t>
  </si>
  <si>
    <t>Фінансовий результат після кооперативних виплат (залишок на кінець року)</t>
  </si>
  <si>
    <t>Постійні витрати</t>
  </si>
  <si>
    <t>1 місяць</t>
  </si>
  <si>
    <t>2 місяць</t>
  </si>
  <si>
    <t>3 місяць</t>
  </si>
  <si>
    <t>4 місяць</t>
  </si>
  <si>
    <t>5 місяць</t>
  </si>
  <si>
    <t>6 місяць</t>
  </si>
  <si>
    <t>7 місяць</t>
  </si>
  <si>
    <t>8 місяць</t>
  </si>
  <si>
    <t>9 місяць</t>
  </si>
  <si>
    <t>10 місяць</t>
  </si>
  <si>
    <t>11 місяць</t>
  </si>
  <si>
    <t>12 місяць</t>
  </si>
  <si>
    <t>Ставка кредиту</t>
  </si>
  <si>
    <t>Розмір кредиту, грн.</t>
  </si>
  <si>
    <t>Термін, років</t>
  </si>
  <si>
    <t>Виплат</t>
  </si>
  <si>
    <t>Графік повернення кредиту</t>
  </si>
  <si>
    <t>Кредит</t>
  </si>
  <si>
    <t>Тіло кредиту</t>
  </si>
  <si>
    <t>Залишок</t>
  </si>
  <si>
    <t>Щорічний %</t>
  </si>
  <si>
    <t>Внесок проектів технічної допомоги</t>
  </si>
  <si>
    <t>Виручка без ПДВ</t>
  </si>
  <si>
    <t>Інші</t>
  </si>
  <si>
    <t>Змінні (ПММ)</t>
  </si>
  <si>
    <t>Інші (оренда обприскувача 2 місяця)</t>
  </si>
  <si>
    <t>Розподіл адміністративних витрат по послугам</t>
  </si>
  <si>
    <t>Заробітна плата адмінперсоналу з нарахуваннями</t>
  </si>
  <si>
    <t>Кількість всього домогосподарств-членів СОК</t>
  </si>
  <si>
    <t>Нарахування на ФОП (ФЗП), %</t>
  </si>
  <si>
    <t>Вартість проекту</t>
  </si>
  <si>
    <t>Внесок громади</t>
  </si>
  <si>
    <t>Середня</t>
  </si>
  <si>
    <t>UAH</t>
  </si>
  <si>
    <t>Інжиніринг проекту (бізнес-план)</t>
  </si>
  <si>
    <t>Пов"язані супутні/інжинірингові послуги</t>
  </si>
  <si>
    <t xml:space="preserve">Пайовий внесок ДГ при вступі в СОК </t>
  </si>
  <si>
    <t>Відрахування до спецального фонду СОК</t>
  </si>
  <si>
    <t>ВСЬОГО надходжень без ПДВ</t>
  </si>
  <si>
    <t>Всі надходження від реалізації</t>
  </si>
  <si>
    <t xml:space="preserve"> реалізації</t>
  </si>
  <si>
    <t>Відрахування у спецфонд, 1%</t>
  </si>
  <si>
    <t>При наданні послуг з заготівлі кормів та транспортуванні</t>
  </si>
  <si>
    <t>Прямі витрати послуг трактором</t>
  </si>
  <si>
    <t>Вигоди членів СОК</t>
  </si>
  <si>
    <t>Вигода від послуг з реаліз.молока грн.</t>
  </si>
  <si>
    <t>Вигода від послуг на черешні, грн.</t>
  </si>
  <si>
    <t>Вигода від послуг трактором, грн.</t>
  </si>
</sst>
</file>

<file path=xl/styles.xml><?xml version="1.0" encoding="utf-8"?>
<styleSheet xmlns="http://schemas.openxmlformats.org/spreadsheetml/2006/main">
  <numFmts count="7">
    <numFmt numFmtId="43" formatCode="_-* #,##0.00\ _г_р_н_._-;\-* #,##0.00\ _г_р_н_._-;_-* &quot;-&quot;??\ _г_р_н_._-;_-@_-"/>
    <numFmt numFmtId="164" formatCode="0.0%"/>
    <numFmt numFmtId="165" formatCode="0.0"/>
    <numFmt numFmtId="166" formatCode="#,##0.0"/>
    <numFmt numFmtId="167" formatCode="_-* #,##0\ _г_р_н_._-;\-* #,##0\ _г_р_н_._-;_-* &quot;-&quot;??\ _г_р_н_._-;_-@_-"/>
    <numFmt numFmtId="168" formatCode="0.000"/>
    <numFmt numFmtId="169" formatCode="_-* #,##0.0\ _г_р_н_._-;\-* #,##0.0\ _г_р_н_._-;_-* &quot;-&quot;??\ _г_р_н_._-;_-@_-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  <font>
      <b/>
      <sz val="11"/>
      <color rgb="FF0066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indexed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theme="1" tint="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2"/>
      <color rgb="FF00008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6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66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rgb="FF006600"/>
      <name val="Calibri"/>
      <family val="2"/>
      <charset val="204"/>
      <scheme val="minor"/>
    </font>
    <font>
      <b/>
      <i/>
      <sz val="11"/>
      <color theme="5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 wrapText="1"/>
    </xf>
    <xf numFmtId="9" fontId="3" fillId="3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3" fontId="16" fillId="4" borderId="0" xfId="0" applyNumberFormat="1" applyFont="1" applyFill="1"/>
    <xf numFmtId="0" fontId="16" fillId="4" borderId="0" xfId="0" applyFont="1" applyFill="1" applyAlignment="1"/>
    <xf numFmtId="0" fontId="15" fillId="4" borderId="0" xfId="0" applyFont="1" applyFill="1" applyAlignment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3" fontId="16" fillId="4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3" fontId="0" fillId="0" borderId="1" xfId="0" applyNumberFormat="1" applyFont="1" applyBorder="1"/>
    <xf numFmtId="0" fontId="10" fillId="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 indent="2"/>
    </xf>
    <xf numFmtId="1" fontId="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 wrapText="1" indent="2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5"/>
    </xf>
    <xf numFmtId="164" fontId="3" fillId="0" borderId="1" xfId="1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/>
    <xf numFmtId="166" fontId="3" fillId="0" borderId="1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3" fontId="0" fillId="6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2" fillId="5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9" fontId="3" fillId="0" borderId="1" xfId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9" fillId="0" borderId="0" xfId="0" applyFont="1" applyBorder="1" applyAlignment="1"/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 indent="2"/>
    </xf>
    <xf numFmtId="0" fontId="17" fillId="0" borderId="0" xfId="0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Border="1"/>
    <xf numFmtId="0" fontId="2" fillId="0" borderId="0" xfId="0" applyFont="1" applyAlignment="1">
      <alignment horizontal="justify" vertical="center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3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0" fontId="16" fillId="4" borderId="1" xfId="0" applyFont="1" applyFill="1" applyBorder="1" applyAlignment="1"/>
    <xf numFmtId="3" fontId="16" fillId="4" borderId="1" xfId="0" applyNumberFormat="1" applyFont="1" applyFill="1" applyBorder="1" applyAlignment="1"/>
    <xf numFmtId="3" fontId="0" fillId="0" borderId="0" xfId="0" applyNumberFormat="1"/>
    <xf numFmtId="0" fontId="23" fillId="0" borderId="0" xfId="0" applyFont="1"/>
    <xf numFmtId="0" fontId="26" fillId="0" borderId="0" xfId="3" applyAlignment="1" applyProtection="1">
      <alignment horizontal="justify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3" fillId="0" borderId="1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9" fontId="8" fillId="5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/>
    <xf numFmtId="3" fontId="28" fillId="0" borderId="0" xfId="0" applyNumberFormat="1" applyFont="1" applyAlignment="1">
      <alignment horizontal="center"/>
    </xf>
    <xf numFmtId="1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3" xfId="0" applyFont="1" applyFill="1" applyBorder="1"/>
    <xf numFmtId="0" fontId="10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0" fillId="0" borderId="0" xfId="0" applyFont="1" applyFill="1"/>
    <xf numFmtId="1" fontId="7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0" fontId="0" fillId="0" borderId="3" xfId="0" applyFont="1" applyBorder="1"/>
    <xf numFmtId="3" fontId="8" fillId="0" borderId="1" xfId="0" applyNumberFormat="1" applyFont="1" applyFill="1" applyBorder="1" applyAlignment="1">
      <alignment horizontal="center" wrapText="1"/>
    </xf>
    <xf numFmtId="9" fontId="8" fillId="0" borderId="1" xfId="1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right" wrapText="1"/>
    </xf>
    <xf numFmtId="165" fontId="31" fillId="5" borderId="0" xfId="0" applyNumberFormat="1" applyFont="1" applyFill="1" applyBorder="1" applyAlignment="1">
      <alignment horizontal="center" vertical="center" wrapText="1"/>
    </xf>
    <xf numFmtId="165" fontId="20" fillId="5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167" fontId="6" fillId="0" borderId="1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 indent="5"/>
    </xf>
    <xf numFmtId="0" fontId="7" fillId="0" borderId="1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wrapText="1"/>
    </xf>
    <xf numFmtId="3" fontId="8" fillId="5" borderId="8" xfId="0" applyNumberFormat="1" applyFont="1" applyFill="1" applyBorder="1" applyAlignment="1">
      <alignment horizontal="center" wrapText="1"/>
    </xf>
    <xf numFmtId="3" fontId="8" fillId="5" borderId="15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Fill="1" applyBorder="1" applyAlignment="1">
      <alignment horizontal="center" wrapText="1"/>
    </xf>
    <xf numFmtId="166" fontId="8" fillId="5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wrapText="1"/>
    </xf>
    <xf numFmtId="3" fontId="8" fillId="0" borderId="3" xfId="0" applyNumberFormat="1" applyFont="1" applyBorder="1" applyAlignment="1">
      <alignment horizontal="center"/>
    </xf>
    <xf numFmtId="0" fontId="7" fillId="0" borderId="3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left" wrapText="1"/>
    </xf>
    <xf numFmtId="166" fontId="8" fillId="5" borderId="0" xfId="0" applyNumberFormat="1" applyFont="1" applyFill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35" fillId="5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0" fillId="0" borderId="0" xfId="0" applyNumberFormat="1"/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6" fontId="8" fillId="0" borderId="0" xfId="0" applyNumberFormat="1" applyFont="1" applyFill="1" applyBorder="1" applyAlignment="1">
      <alignment horizontal="left" wrapText="1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/>
    <xf numFmtId="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3" xfId="0" applyNumberFormat="1" applyFont="1" applyBorder="1" applyAlignment="1">
      <alignment horizontal="center"/>
    </xf>
    <xf numFmtId="0" fontId="2" fillId="0" borderId="3" xfId="0" applyFont="1" applyBorder="1"/>
    <xf numFmtId="16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 wrapText="1"/>
    </xf>
    <xf numFmtId="3" fontId="30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169" fontId="0" fillId="0" borderId="3" xfId="2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9" fontId="0" fillId="0" borderId="3" xfId="0" applyNumberFormat="1" applyBorder="1"/>
    <xf numFmtId="0" fontId="29" fillId="0" borderId="0" xfId="0" applyFont="1" applyAlignment="1">
      <alignment wrapText="1"/>
    </xf>
    <xf numFmtId="3" fontId="12" fillId="6" borderId="3" xfId="0" applyNumberFormat="1" applyFont="1" applyFill="1" applyBorder="1" applyAlignment="1">
      <alignment horizontal="center"/>
    </xf>
    <xf numFmtId="166" fontId="12" fillId="6" borderId="3" xfId="0" applyNumberFormat="1" applyFont="1" applyFill="1" applyBorder="1" applyAlignment="1">
      <alignment horizontal="center"/>
    </xf>
    <xf numFmtId="169" fontId="0" fillId="0" borderId="3" xfId="2" applyNumberFormat="1" applyFont="1" applyBorder="1"/>
    <xf numFmtId="0" fontId="36" fillId="0" borderId="3" xfId="0" applyFont="1" applyBorder="1" applyAlignment="1">
      <alignment horizontal="center"/>
    </xf>
    <xf numFmtId="0" fontId="35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7zOAD7E.tmp\&#1088;&#1110;&#1087;&#1072;&#1082;_&#1090;&#1077;&#1093;&#1085;&#1110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хідні дані"/>
      <sheetName val="Одеса (2)"/>
    </sheetNames>
    <sheetDataSet>
      <sheetData sheetId="0">
        <row r="6">
          <cell r="B6">
            <v>0.2</v>
          </cell>
        </row>
        <row r="8">
          <cell r="B8">
            <v>0.25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130" zoomScaleNormal="130" workbookViewId="0">
      <selection activeCell="D9" sqref="D9"/>
    </sheetView>
  </sheetViews>
  <sheetFormatPr defaultRowHeight="15"/>
  <cols>
    <col min="1" max="1" width="36.85546875" customWidth="1"/>
    <col min="2" max="2" width="12.42578125" customWidth="1"/>
    <col min="3" max="3" width="5.85546875" customWidth="1"/>
    <col min="4" max="4" width="13.28515625" customWidth="1"/>
    <col min="5" max="5" width="6.42578125" customWidth="1"/>
    <col min="6" max="6" width="15.7109375" customWidth="1"/>
    <col min="7" max="7" width="6.5703125" customWidth="1"/>
    <col min="9" max="9" width="7.5703125" customWidth="1"/>
    <col min="11" max="11" width="8.140625" customWidth="1"/>
    <col min="17" max="17" width="10.42578125" style="90" customWidth="1"/>
    <col min="18" max="18" width="9.5703125" bestFit="1" customWidth="1"/>
  </cols>
  <sheetData>
    <row r="1" spans="1:19">
      <c r="A1" s="20" t="s">
        <v>142</v>
      </c>
      <c r="B1" s="21"/>
      <c r="C1" s="17"/>
      <c r="D1" s="17"/>
      <c r="E1" s="17"/>
      <c r="F1" s="18"/>
      <c r="G1" s="18"/>
      <c r="H1" s="18"/>
      <c r="I1" s="18"/>
      <c r="J1" s="19"/>
      <c r="K1" s="19"/>
      <c r="Q1"/>
      <c r="S1" s="90"/>
    </row>
    <row r="2" spans="1:19" ht="59.25" customHeight="1">
      <c r="A2" s="42" t="s">
        <v>30</v>
      </c>
      <c r="B2" s="42" t="s">
        <v>85</v>
      </c>
      <c r="C2" s="161" t="s">
        <v>209</v>
      </c>
      <c r="D2" s="42" t="s">
        <v>84</v>
      </c>
      <c r="E2" s="161" t="s">
        <v>209</v>
      </c>
      <c r="F2" s="42" t="s">
        <v>83</v>
      </c>
      <c r="G2" s="161" t="s">
        <v>209</v>
      </c>
      <c r="H2" s="42" t="s">
        <v>155</v>
      </c>
      <c r="I2" s="161" t="s">
        <v>209</v>
      </c>
      <c r="J2" s="42" t="s">
        <v>141</v>
      </c>
      <c r="K2" s="160" t="s">
        <v>209</v>
      </c>
    </row>
    <row r="3" spans="1:19">
      <c r="A3" s="94" t="s">
        <v>31</v>
      </c>
      <c r="B3" s="31">
        <v>500</v>
      </c>
      <c r="C3" s="33">
        <f>B3/B9</f>
        <v>2.5000000000000001E-2</v>
      </c>
      <c r="D3" s="31">
        <v>3</v>
      </c>
      <c r="E3" s="33">
        <f>D3/D9</f>
        <v>0.05</v>
      </c>
      <c r="F3" s="93">
        <v>0.7</v>
      </c>
      <c r="G3" s="33">
        <f>F3/F9</f>
        <v>0.23333333333333331</v>
      </c>
      <c r="H3" s="93"/>
      <c r="I3" s="33">
        <f>H3/H9</f>
        <v>0</v>
      </c>
      <c r="J3" s="41">
        <v>2000</v>
      </c>
      <c r="K3" s="33">
        <f>J3/J9</f>
        <v>7.6923076923076927E-3</v>
      </c>
    </row>
    <row r="4" spans="1:19">
      <c r="A4" s="30" t="s">
        <v>2</v>
      </c>
      <c r="B4" s="58"/>
      <c r="C4" s="58"/>
      <c r="D4" s="58"/>
      <c r="E4" s="58"/>
      <c r="F4" s="93"/>
      <c r="G4" s="93"/>
      <c r="H4" s="93"/>
      <c r="I4" s="93"/>
      <c r="J4" s="41"/>
    </row>
    <row r="5" spans="1:19">
      <c r="A5" s="30"/>
      <c r="B5" s="58"/>
      <c r="C5" s="58"/>
      <c r="D5" s="58"/>
      <c r="E5" s="58"/>
      <c r="F5" s="93"/>
      <c r="G5" s="93"/>
      <c r="H5" s="93"/>
      <c r="I5" s="93"/>
      <c r="J5" s="41"/>
    </row>
    <row r="6" spans="1:19">
      <c r="A6" s="30"/>
      <c r="B6" s="58"/>
      <c r="C6" s="58"/>
      <c r="D6" s="58"/>
      <c r="E6" s="58"/>
      <c r="F6" s="93"/>
      <c r="G6" s="93"/>
      <c r="H6" s="93"/>
      <c r="I6" s="93"/>
      <c r="J6" s="41"/>
    </row>
    <row r="7" spans="1:19">
      <c r="A7" s="30"/>
      <c r="B7" s="58"/>
      <c r="C7" s="58"/>
      <c r="D7" s="58"/>
      <c r="E7" s="58"/>
      <c r="F7" s="93"/>
      <c r="G7" s="93"/>
      <c r="H7" s="93"/>
      <c r="I7" s="93"/>
      <c r="J7" s="41"/>
    </row>
    <row r="8" spans="1:19">
      <c r="A8" s="30" t="s">
        <v>32</v>
      </c>
      <c r="B8" s="58">
        <v>150</v>
      </c>
      <c r="C8" s="58"/>
      <c r="D8" s="58">
        <v>5</v>
      </c>
      <c r="E8" s="58"/>
      <c r="F8" s="93">
        <v>0.3</v>
      </c>
      <c r="G8" s="93"/>
      <c r="H8" s="93"/>
      <c r="I8" s="93"/>
      <c r="J8" s="41">
        <v>200</v>
      </c>
    </row>
    <row r="9" spans="1:19">
      <c r="A9" s="110" t="s">
        <v>200</v>
      </c>
      <c r="B9" s="43">
        <v>20000</v>
      </c>
      <c r="C9" s="43"/>
      <c r="D9" s="43">
        <v>60</v>
      </c>
      <c r="E9" s="43"/>
      <c r="F9" s="43">
        <v>3</v>
      </c>
      <c r="G9" s="43"/>
      <c r="H9" s="43">
        <v>2016</v>
      </c>
      <c r="I9" s="43"/>
      <c r="J9" s="43">
        <v>260000</v>
      </c>
      <c r="K9" s="43"/>
    </row>
    <row r="10" spans="1:19" hidden="1">
      <c r="A10" s="162" t="s">
        <v>213</v>
      </c>
      <c r="B10" s="163">
        <v>20000</v>
      </c>
      <c r="C10" s="163"/>
      <c r="D10" s="163">
        <v>60</v>
      </c>
      <c r="E10" s="163"/>
      <c r="F10" s="163">
        <v>3</v>
      </c>
      <c r="G10" s="163"/>
      <c r="H10" s="163">
        <v>2016</v>
      </c>
      <c r="I10" s="163"/>
      <c r="J10" s="163">
        <v>320000</v>
      </c>
      <c r="K10" s="163"/>
    </row>
    <row r="11" spans="1:19" hidden="1">
      <c r="A11" s="162" t="s">
        <v>212</v>
      </c>
      <c r="B11" s="164">
        <f>(B10/B9-1)*100</f>
        <v>0</v>
      </c>
      <c r="C11" s="164"/>
      <c r="D11" s="164">
        <f>(D10/D9-1)*100</f>
        <v>0</v>
      </c>
      <c r="E11" s="164"/>
      <c r="F11" s="164">
        <f>(F10/F9-1)*100</f>
        <v>0</v>
      </c>
      <c r="G11" s="164"/>
      <c r="H11" s="164">
        <f>(H10/H9-1)*100</f>
        <v>0</v>
      </c>
      <c r="I11" s="164"/>
      <c r="J11" s="164">
        <f>(J10/послуга1-1)*100</f>
        <v>23.076923076923084</v>
      </c>
      <c r="K11" s="164"/>
      <c r="Q11"/>
      <c r="R11" s="90"/>
    </row>
    <row r="15" spans="1:19" ht="16.5" customHeight="1"/>
    <row r="18" spans="18:18">
      <c r="R18" s="146"/>
    </row>
    <row r="19" spans="18:18">
      <c r="R19" s="146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workbookViewId="0">
      <selection activeCell="B16" sqref="B16"/>
    </sheetView>
  </sheetViews>
  <sheetFormatPr defaultRowHeight="15"/>
  <cols>
    <col min="1" max="1" width="9.28515625" style="8" customWidth="1"/>
    <col min="2" max="2" width="58.85546875" style="9" customWidth="1"/>
    <col min="3" max="3" width="13.140625" style="9" customWidth="1"/>
    <col min="4" max="4" width="11.85546875" style="9" customWidth="1"/>
    <col min="5" max="5" width="13.7109375" style="9" customWidth="1"/>
    <col min="6" max="6" width="11" style="8" customWidth="1"/>
    <col min="7" max="7" width="14.140625" style="8" customWidth="1"/>
    <col min="8" max="8" width="16" style="10" customWidth="1"/>
    <col min="9" max="9" width="14.140625" style="8" customWidth="1"/>
    <col min="10" max="10" width="10.7109375" style="8" customWidth="1"/>
    <col min="11" max="16384" width="9.140625" style="8"/>
  </cols>
  <sheetData>
    <row r="1" spans="2:8">
      <c r="B1" s="22" t="s">
        <v>47</v>
      </c>
      <c r="C1" s="22"/>
      <c r="D1" s="22"/>
      <c r="E1" s="22"/>
      <c r="F1" s="23"/>
      <c r="G1" s="23"/>
      <c r="H1" s="24"/>
    </row>
    <row r="2" spans="2:8" ht="9" customHeight="1">
      <c r="B2" s="25"/>
      <c r="C2" s="25"/>
      <c r="D2" s="25"/>
      <c r="E2" s="25"/>
      <c r="F2" s="26"/>
      <c r="G2" s="26"/>
      <c r="H2" s="27"/>
    </row>
    <row r="3" spans="2:8">
      <c r="B3" s="28" t="s">
        <v>45</v>
      </c>
      <c r="C3" s="29"/>
      <c r="D3" s="37"/>
      <c r="E3" s="25"/>
      <c r="F3" s="26"/>
      <c r="G3" s="26"/>
      <c r="H3" s="27"/>
    </row>
    <row r="4" spans="2:8">
      <c r="B4" s="30" t="s">
        <v>353</v>
      </c>
      <c r="C4" s="31">
        <v>296</v>
      </c>
      <c r="D4" s="37"/>
      <c r="E4" s="25"/>
      <c r="F4" s="26"/>
      <c r="G4" s="26"/>
      <c r="H4" s="27"/>
    </row>
    <row r="5" spans="2:8" ht="17.25" customHeight="1">
      <c r="B5" s="28" t="s">
        <v>44</v>
      </c>
      <c r="C5" s="29"/>
      <c r="D5" s="37"/>
      <c r="E5" s="25"/>
      <c r="F5" s="26"/>
      <c r="G5" s="26"/>
      <c r="H5" s="27"/>
    </row>
    <row r="6" spans="2:8">
      <c r="B6" s="69" t="s">
        <v>66</v>
      </c>
      <c r="C6" s="33">
        <v>0</v>
      </c>
      <c r="D6" s="38" t="s">
        <v>63</v>
      </c>
      <c r="E6" s="26"/>
      <c r="F6" s="26"/>
      <c r="G6" s="26"/>
      <c r="H6" s="27"/>
    </row>
    <row r="7" spans="2:8">
      <c r="B7" s="69" t="s">
        <v>65</v>
      </c>
      <c r="C7" s="33">
        <v>0</v>
      </c>
      <c r="D7" s="38" t="s">
        <v>67</v>
      </c>
      <c r="E7" s="26"/>
      <c r="F7" s="26"/>
      <c r="G7" s="26"/>
      <c r="H7" s="27"/>
    </row>
    <row r="8" spans="2:8" ht="15" customHeight="1">
      <c r="B8" s="32" t="s">
        <v>29</v>
      </c>
      <c r="C8" s="33">
        <v>0.2</v>
      </c>
      <c r="D8" s="38" t="s">
        <v>300</v>
      </c>
      <c r="E8" s="26"/>
      <c r="F8" s="26"/>
      <c r="G8" s="26"/>
      <c r="H8" s="27"/>
    </row>
    <row r="9" spans="2:8" ht="17.25" customHeight="1">
      <c r="B9" s="69" t="s">
        <v>354</v>
      </c>
      <c r="C9" s="33">
        <f>0.32+0.029+0.019</f>
        <v>0.36800000000000005</v>
      </c>
      <c r="D9" s="38" t="s">
        <v>301</v>
      </c>
      <c r="E9" s="26"/>
      <c r="F9" s="26"/>
      <c r="G9" s="26"/>
      <c r="H9" s="27"/>
    </row>
    <row r="10" spans="2:8" ht="17.25" customHeight="1">
      <c r="B10" s="69" t="s">
        <v>120</v>
      </c>
      <c r="C10" s="33">
        <v>0.03</v>
      </c>
      <c r="D10" s="38" t="s">
        <v>122</v>
      </c>
      <c r="E10" s="26"/>
      <c r="F10" s="26"/>
      <c r="G10" s="26"/>
      <c r="H10" s="27"/>
    </row>
    <row r="11" spans="2:8" ht="17.25" customHeight="1">
      <c r="B11" s="69" t="s">
        <v>121</v>
      </c>
      <c r="C11" s="33">
        <v>0.02</v>
      </c>
      <c r="D11" s="38" t="s">
        <v>123</v>
      </c>
      <c r="E11" s="26"/>
      <c r="F11" s="26"/>
      <c r="G11" s="26"/>
      <c r="H11" s="27"/>
    </row>
    <row r="12" spans="2:8" ht="19.5" customHeight="1">
      <c r="B12" s="32" t="s">
        <v>43</v>
      </c>
      <c r="C12" s="31"/>
      <c r="D12" s="39"/>
      <c r="E12" s="25"/>
      <c r="F12" s="26"/>
      <c r="G12" s="26"/>
      <c r="H12" s="27"/>
    </row>
    <row r="13" spans="2:8">
      <c r="B13" s="34" t="s">
        <v>42</v>
      </c>
      <c r="C13" s="35">
        <v>0.12</v>
      </c>
      <c r="D13" s="38" t="s">
        <v>75</v>
      </c>
      <c r="E13" s="26"/>
      <c r="F13" s="26"/>
      <c r="G13" s="26"/>
      <c r="H13" s="27"/>
    </row>
    <row r="14" spans="2:8" ht="15" customHeight="1">
      <c r="B14" s="34" t="s">
        <v>0</v>
      </c>
      <c r="C14" s="33">
        <f>1/30</f>
        <v>3.3333333333333333E-2</v>
      </c>
      <c r="D14" s="38" t="s">
        <v>46</v>
      </c>
      <c r="E14" s="26"/>
      <c r="F14" s="26"/>
      <c r="G14" s="26"/>
      <c r="H14" s="27"/>
    </row>
    <row r="15" spans="2:8" ht="17.25" customHeight="1">
      <c r="B15" s="34" t="s">
        <v>41</v>
      </c>
      <c r="C15" s="33">
        <v>0</v>
      </c>
      <c r="D15" s="38"/>
      <c r="E15" s="26"/>
      <c r="F15" s="26"/>
      <c r="G15" s="26"/>
      <c r="H15" s="27"/>
    </row>
    <row r="16" spans="2:8">
      <c r="B16" s="30" t="s">
        <v>39</v>
      </c>
      <c r="C16" s="33">
        <v>0.01</v>
      </c>
      <c r="D16" s="40" t="s">
        <v>302</v>
      </c>
      <c r="E16" s="25"/>
      <c r="F16" s="26"/>
      <c r="G16" s="26"/>
      <c r="H16" s="27"/>
    </row>
    <row r="17" spans="1:11">
      <c r="B17" s="30" t="s">
        <v>40</v>
      </c>
      <c r="C17" s="33">
        <v>0</v>
      </c>
      <c r="D17" s="40" t="s">
        <v>82</v>
      </c>
      <c r="E17" s="25"/>
      <c r="F17" s="26"/>
      <c r="G17" s="26"/>
      <c r="H17" s="27"/>
    </row>
    <row r="18" spans="1:11">
      <c r="B18" s="34" t="s">
        <v>20</v>
      </c>
      <c r="C18" s="33">
        <v>0</v>
      </c>
      <c r="D18" s="40" t="s">
        <v>81</v>
      </c>
      <c r="E18" s="25"/>
      <c r="F18" s="26"/>
      <c r="G18" s="26"/>
      <c r="H18" s="27"/>
    </row>
    <row r="19" spans="1:11">
      <c r="B19" s="34" t="s">
        <v>1</v>
      </c>
      <c r="C19" s="33">
        <v>0</v>
      </c>
      <c r="D19" s="40" t="s">
        <v>80</v>
      </c>
      <c r="E19" s="25"/>
      <c r="F19" s="26"/>
      <c r="G19" s="26"/>
      <c r="H19" s="27"/>
    </row>
    <row r="20" spans="1:11">
      <c r="B20" s="28" t="s">
        <v>220</v>
      </c>
      <c r="C20" s="33"/>
      <c r="D20" s="40"/>
      <c r="E20" s="25"/>
      <c r="F20" s="26"/>
      <c r="G20" s="26"/>
      <c r="H20" s="27"/>
    </row>
    <row r="21" spans="1:11">
      <c r="B21" s="180" t="s">
        <v>219</v>
      </c>
      <c r="C21" s="82">
        <v>0.76</v>
      </c>
      <c r="D21" s="40"/>
      <c r="E21" s="25"/>
      <c r="F21" s="26"/>
      <c r="G21" s="26"/>
      <c r="H21" s="27"/>
    </row>
    <row r="22" spans="1:11">
      <c r="B22" s="180" t="s">
        <v>221</v>
      </c>
      <c r="C22" s="82">
        <v>9.6</v>
      </c>
      <c r="D22" s="40"/>
      <c r="E22" s="25"/>
      <c r="F22" s="26"/>
      <c r="G22" s="26"/>
      <c r="H22" s="27"/>
    </row>
    <row r="23" spans="1:11">
      <c r="B23" s="180" t="s">
        <v>218</v>
      </c>
      <c r="C23" s="82">
        <v>10.96</v>
      </c>
      <c r="D23" s="40"/>
      <c r="E23" s="25"/>
      <c r="F23" s="26"/>
      <c r="G23" s="26"/>
      <c r="H23" s="27"/>
    </row>
    <row r="24" spans="1:11">
      <c r="B24" s="36" t="s">
        <v>19</v>
      </c>
      <c r="C24" s="82">
        <v>8.14</v>
      </c>
      <c r="D24" s="37"/>
      <c r="E24" s="25"/>
      <c r="F24" s="26"/>
      <c r="G24" s="26"/>
      <c r="H24" s="27"/>
    </row>
    <row r="25" spans="1:11">
      <c r="B25" s="11"/>
    </row>
    <row r="26" spans="1:11">
      <c r="A26" s="22"/>
      <c r="B26" s="22" t="s">
        <v>52</v>
      </c>
      <c r="C26" s="22"/>
      <c r="D26" s="22"/>
      <c r="E26" s="22"/>
      <c r="F26" s="22"/>
      <c r="G26" s="18"/>
      <c r="H26" s="19"/>
    </row>
    <row r="27" spans="1:11">
      <c r="B27" s="13"/>
      <c r="C27" s="14"/>
      <c r="D27" s="15"/>
      <c r="E27" s="15"/>
    </row>
    <row r="28" spans="1:11">
      <c r="B28" s="44" t="s">
        <v>53</v>
      </c>
      <c r="C28" s="45"/>
      <c r="D28" s="45"/>
      <c r="E28" s="45"/>
      <c r="F28" s="46"/>
      <c r="G28" s="46"/>
      <c r="H28" s="47"/>
    </row>
    <row r="30" spans="1:11" ht="46.5" customHeight="1">
      <c r="A30" s="177" t="s">
        <v>91</v>
      </c>
      <c r="B30" s="52" t="s">
        <v>50</v>
      </c>
      <c r="C30" s="52" t="s">
        <v>4</v>
      </c>
      <c r="D30" s="52" t="s">
        <v>8</v>
      </c>
      <c r="E30" s="52" t="s">
        <v>6</v>
      </c>
      <c r="F30" s="52" t="s">
        <v>49</v>
      </c>
      <c r="G30" s="52" t="s">
        <v>88</v>
      </c>
      <c r="H30" s="52" t="s">
        <v>90</v>
      </c>
      <c r="I30" s="52" t="s">
        <v>189</v>
      </c>
      <c r="J30" s="52" t="s">
        <v>79</v>
      </c>
      <c r="K30" s="52" t="s">
        <v>89</v>
      </c>
    </row>
    <row r="31" spans="1:11">
      <c r="A31" s="31"/>
      <c r="B31" s="55" t="s">
        <v>26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1:11">
      <c r="A32" s="31">
        <v>1</v>
      </c>
      <c r="B32" s="63" t="s">
        <v>86</v>
      </c>
      <c r="C32" s="48">
        <v>1</v>
      </c>
      <c r="D32" s="49">
        <v>4000</v>
      </c>
      <c r="E32" s="59">
        <v>0.5</v>
      </c>
      <c r="F32" s="158">
        <f>E32*D32*C32</f>
        <v>2000</v>
      </c>
      <c r="G32" s="158">
        <f>F32*Нарахування_на_ФЗП</f>
        <v>736.00000000000011</v>
      </c>
      <c r="H32" s="158">
        <f>G32+F32</f>
        <v>2736</v>
      </c>
      <c r="I32" s="158">
        <f>F32*12</f>
        <v>24000</v>
      </c>
      <c r="J32" s="158">
        <f>I32*Нарахування_на_ФЗП</f>
        <v>8832.0000000000018</v>
      </c>
      <c r="K32" s="158">
        <f>J32+I32</f>
        <v>32832</v>
      </c>
    </row>
    <row r="33" spans="1:11">
      <c r="A33" s="31">
        <v>2</v>
      </c>
      <c r="B33" s="63" t="s">
        <v>87</v>
      </c>
      <c r="C33" s="48">
        <v>1</v>
      </c>
      <c r="D33" s="49">
        <v>2000</v>
      </c>
      <c r="E33" s="59">
        <v>0.5</v>
      </c>
      <c r="F33" s="158">
        <f>E33*D33*C33</f>
        <v>1000</v>
      </c>
      <c r="G33" s="158">
        <f>F33*Нарахування_на_ФЗП</f>
        <v>368.00000000000006</v>
      </c>
      <c r="H33" s="158">
        <f>G33+F33</f>
        <v>1368</v>
      </c>
      <c r="I33" s="158">
        <f>F33*12</f>
        <v>12000</v>
      </c>
      <c r="J33" s="158">
        <f>I33*Нарахування_на_ФЗП</f>
        <v>4416.0000000000009</v>
      </c>
      <c r="K33" s="158">
        <f>J33+I33</f>
        <v>16416</v>
      </c>
    </row>
    <row r="34" spans="1:11">
      <c r="A34" s="57"/>
      <c r="B34" s="57" t="s">
        <v>76</v>
      </c>
      <c r="C34" s="194">
        <f>SUM(C32:C33)</f>
        <v>2</v>
      </c>
      <c r="D34" s="158">
        <f>SUM(D33:D33)</f>
        <v>2000</v>
      </c>
      <c r="E34" s="59"/>
      <c r="F34" s="158">
        <f t="shared" ref="F34:K34" si="0">SUM(F32:F33)</f>
        <v>3000</v>
      </c>
      <c r="G34" s="158">
        <f t="shared" si="0"/>
        <v>1104.0000000000002</v>
      </c>
      <c r="H34" s="158">
        <f t="shared" si="0"/>
        <v>4104</v>
      </c>
      <c r="I34" s="158">
        <f t="shared" si="0"/>
        <v>36000</v>
      </c>
      <c r="J34" s="158">
        <f t="shared" si="0"/>
        <v>13248.000000000004</v>
      </c>
      <c r="K34" s="158">
        <f t="shared" si="0"/>
        <v>49248</v>
      </c>
    </row>
    <row r="35" spans="1:11">
      <c r="B35" s="2"/>
      <c r="C35" s="3"/>
      <c r="D35" s="4"/>
      <c r="E35" s="5"/>
      <c r="F35" s="6"/>
    </row>
    <row r="36" spans="1:11">
      <c r="A36" s="83"/>
      <c r="B36" s="22" t="s">
        <v>25</v>
      </c>
      <c r="C36" s="22"/>
      <c r="D36" s="22"/>
      <c r="E36" s="22"/>
      <c r="F36" s="22"/>
      <c r="G36" s="22"/>
      <c r="H36" s="22"/>
    </row>
    <row r="37" spans="1:11">
      <c r="B37" s="60"/>
      <c r="C37" s="16"/>
      <c r="D37" s="16"/>
    </row>
    <row r="38" spans="1:11" ht="51.75" customHeight="1">
      <c r="A38" s="177" t="s">
        <v>91</v>
      </c>
      <c r="B38" s="52" t="s">
        <v>11</v>
      </c>
      <c r="C38" s="52" t="s">
        <v>197</v>
      </c>
      <c r="D38" s="52" t="s">
        <v>194</v>
      </c>
      <c r="E38" s="52" t="s">
        <v>195</v>
      </c>
      <c r="F38" s="52" t="s">
        <v>196</v>
      </c>
      <c r="H38" s="8"/>
    </row>
    <row r="39" spans="1:11" ht="18" customHeight="1">
      <c r="A39" s="31">
        <v>1</v>
      </c>
      <c r="B39" s="30" t="s">
        <v>352</v>
      </c>
      <c r="C39" s="135">
        <f>H34</f>
        <v>4104</v>
      </c>
      <c r="D39" s="135">
        <f>K34</f>
        <v>49248</v>
      </c>
      <c r="E39" s="135">
        <f>D39</f>
        <v>49248</v>
      </c>
      <c r="F39" s="135">
        <f>E39</f>
        <v>49248</v>
      </c>
      <c r="H39" s="8"/>
    </row>
    <row r="40" spans="1:11">
      <c r="A40" s="31">
        <v>2</v>
      </c>
      <c r="B40" s="30" t="s">
        <v>35</v>
      </c>
      <c r="C40" s="140">
        <v>0</v>
      </c>
      <c r="D40" s="135">
        <v>0</v>
      </c>
      <c r="E40" s="135">
        <f>D40</f>
        <v>0</v>
      </c>
      <c r="F40" s="135">
        <f>E40</f>
        <v>0</v>
      </c>
      <c r="H40" s="8"/>
    </row>
    <row r="41" spans="1:11">
      <c r="A41" s="31">
        <v>3</v>
      </c>
      <c r="B41" s="30" t="s">
        <v>12</v>
      </c>
      <c r="C41" s="140">
        <v>100</v>
      </c>
      <c r="D41" s="135">
        <f>C41*12</f>
        <v>1200</v>
      </c>
      <c r="E41" s="135">
        <f t="shared" ref="E41:F53" si="1">D41</f>
        <v>1200</v>
      </c>
      <c r="F41" s="135">
        <f t="shared" si="1"/>
        <v>1200</v>
      </c>
      <c r="H41" s="8"/>
    </row>
    <row r="42" spans="1:11">
      <c r="A42" s="31">
        <v>4</v>
      </c>
      <c r="B42" s="30" t="s">
        <v>13</v>
      </c>
      <c r="C42" s="140">
        <v>200</v>
      </c>
      <c r="D42" s="135">
        <f t="shared" ref="D42:D53" si="2">C42*12</f>
        <v>2400</v>
      </c>
      <c r="E42" s="135">
        <f t="shared" si="1"/>
        <v>2400</v>
      </c>
      <c r="F42" s="135">
        <f t="shared" si="1"/>
        <v>2400</v>
      </c>
      <c r="H42" s="8"/>
    </row>
    <row r="43" spans="1:11">
      <c r="A43" s="31">
        <v>5</v>
      </c>
      <c r="B43" s="30" t="s">
        <v>14</v>
      </c>
      <c r="C43" s="140">
        <v>0</v>
      </c>
      <c r="D43" s="135">
        <f t="shared" si="2"/>
        <v>0</v>
      </c>
      <c r="E43" s="135">
        <f t="shared" si="1"/>
        <v>0</v>
      </c>
      <c r="F43" s="135">
        <f t="shared" si="1"/>
        <v>0</v>
      </c>
      <c r="H43" s="8"/>
    </row>
    <row r="44" spans="1:11">
      <c r="A44" s="31">
        <v>6</v>
      </c>
      <c r="B44" s="30" t="s">
        <v>15</v>
      </c>
      <c r="C44" s="140">
        <f>('Коштор проекту дж фінанс'!E22+'Коштор проекту дж фінанс'!E23+'Коштор проекту дж фінанс'!E24)*'Вхідні - Адмін_витрати'!C10/12</f>
        <v>826.25</v>
      </c>
      <c r="D44" s="135">
        <f t="shared" si="2"/>
        <v>9915</v>
      </c>
      <c r="E44" s="135">
        <f t="shared" si="1"/>
        <v>9915</v>
      </c>
      <c r="F44" s="135">
        <f t="shared" si="1"/>
        <v>9915</v>
      </c>
      <c r="G44" s="61"/>
      <c r="H44" s="8"/>
    </row>
    <row r="45" spans="1:11">
      <c r="A45" s="31">
        <v>7</v>
      </c>
      <c r="B45" s="30" t="s">
        <v>303</v>
      </c>
      <c r="C45" s="140">
        <v>150</v>
      </c>
      <c r="D45" s="135">
        <f t="shared" si="2"/>
        <v>1800</v>
      </c>
      <c r="E45" s="135">
        <f t="shared" si="1"/>
        <v>1800</v>
      </c>
      <c r="F45" s="135">
        <f t="shared" si="1"/>
        <v>1800</v>
      </c>
      <c r="G45" s="9"/>
      <c r="H45" s="8"/>
    </row>
    <row r="46" spans="1:11">
      <c r="A46" s="31">
        <v>8</v>
      </c>
      <c r="B46" s="30" t="s">
        <v>33</v>
      </c>
      <c r="C46" s="140">
        <v>50</v>
      </c>
      <c r="D46" s="135">
        <f t="shared" si="2"/>
        <v>600</v>
      </c>
      <c r="E46" s="135">
        <f t="shared" si="1"/>
        <v>600</v>
      </c>
      <c r="F46" s="135">
        <f t="shared" si="1"/>
        <v>600</v>
      </c>
      <c r="G46" s="9"/>
      <c r="H46" s="8"/>
    </row>
    <row r="47" spans="1:11">
      <c r="A47" s="31">
        <v>9</v>
      </c>
      <c r="B47" s="63" t="s">
        <v>193</v>
      </c>
      <c r="C47" s="139">
        <v>0</v>
      </c>
      <c r="D47" s="111">
        <f>C47*12</f>
        <v>0</v>
      </c>
      <c r="E47" s="111">
        <f t="shared" ref="E47:F50" si="3">D47</f>
        <v>0</v>
      </c>
      <c r="F47" s="111">
        <f t="shared" si="3"/>
        <v>0</v>
      </c>
      <c r="G47" s="9"/>
      <c r="H47" s="8"/>
    </row>
    <row r="48" spans="1:11">
      <c r="A48" s="31">
        <v>10</v>
      </c>
      <c r="B48" s="63" t="s">
        <v>304</v>
      </c>
      <c r="C48" s="139">
        <v>100</v>
      </c>
      <c r="D48" s="111">
        <f>C48*12</f>
        <v>1200</v>
      </c>
      <c r="E48" s="111">
        <f t="shared" si="3"/>
        <v>1200</v>
      </c>
      <c r="F48" s="111">
        <f t="shared" si="3"/>
        <v>1200</v>
      </c>
      <c r="G48" s="9"/>
      <c r="H48" s="8"/>
    </row>
    <row r="49" spans="1:8">
      <c r="A49" s="31">
        <v>11</v>
      </c>
      <c r="B49" s="63" t="s">
        <v>191</v>
      </c>
      <c r="C49" s="139">
        <v>400</v>
      </c>
      <c r="D49" s="111">
        <f>C49*12</f>
        <v>4800</v>
      </c>
      <c r="E49" s="111">
        <f t="shared" si="3"/>
        <v>4800</v>
      </c>
      <c r="F49" s="111">
        <f t="shared" si="3"/>
        <v>4800</v>
      </c>
      <c r="G49" s="9"/>
      <c r="H49" s="8"/>
    </row>
    <row r="50" spans="1:8">
      <c r="A50" s="31">
        <v>12</v>
      </c>
      <c r="B50" s="63" t="s">
        <v>192</v>
      </c>
      <c r="C50" s="139">
        <v>0</v>
      </c>
      <c r="D50" s="111">
        <f>C50*12</f>
        <v>0</v>
      </c>
      <c r="E50" s="111">
        <f t="shared" si="3"/>
        <v>0</v>
      </c>
      <c r="F50" s="111">
        <f t="shared" si="3"/>
        <v>0</v>
      </c>
      <c r="G50" s="9"/>
      <c r="H50" s="8"/>
    </row>
    <row r="51" spans="1:8">
      <c r="A51" s="31">
        <v>13</v>
      </c>
      <c r="B51" s="30" t="s">
        <v>34</v>
      </c>
      <c r="C51" s="140">
        <v>20</v>
      </c>
      <c r="D51" s="135">
        <f t="shared" si="2"/>
        <v>240</v>
      </c>
      <c r="E51" s="135">
        <f t="shared" si="1"/>
        <v>240</v>
      </c>
      <c r="F51" s="135">
        <f t="shared" si="1"/>
        <v>240</v>
      </c>
      <c r="G51" s="9"/>
      <c r="H51" s="8"/>
    </row>
    <row r="52" spans="1:8">
      <c r="A52" s="31">
        <v>14</v>
      </c>
      <c r="B52" s="30" t="s">
        <v>77</v>
      </c>
      <c r="C52" s="140">
        <v>50</v>
      </c>
      <c r="D52" s="135">
        <f t="shared" si="2"/>
        <v>600</v>
      </c>
      <c r="E52" s="135">
        <f t="shared" si="1"/>
        <v>600</v>
      </c>
      <c r="F52" s="135">
        <f t="shared" si="1"/>
        <v>600</v>
      </c>
      <c r="G52" s="9"/>
      <c r="H52" s="8"/>
    </row>
    <row r="53" spans="1:8">
      <c r="A53" s="31">
        <v>15</v>
      </c>
      <c r="B53" s="30" t="s">
        <v>16</v>
      </c>
      <c r="C53" s="140">
        <v>10</v>
      </c>
      <c r="D53" s="135">
        <f t="shared" si="2"/>
        <v>120</v>
      </c>
      <c r="E53" s="135">
        <f t="shared" si="1"/>
        <v>120</v>
      </c>
      <c r="F53" s="135">
        <f t="shared" si="1"/>
        <v>120</v>
      </c>
      <c r="G53" s="9"/>
      <c r="H53" s="8"/>
    </row>
    <row r="54" spans="1:8">
      <c r="A54" s="31">
        <v>16</v>
      </c>
      <c r="B54" s="30" t="s">
        <v>2</v>
      </c>
      <c r="C54" s="140"/>
      <c r="D54" s="135"/>
      <c r="E54" s="135"/>
      <c r="F54" s="135"/>
      <c r="G54" s="9"/>
      <c r="H54" s="8"/>
    </row>
    <row r="55" spans="1:8">
      <c r="A55" s="110"/>
      <c r="B55" s="110" t="s">
        <v>7</v>
      </c>
      <c r="C55" s="171">
        <f>SUM(C39:C54)</f>
        <v>6010.25</v>
      </c>
      <c r="D55" s="171">
        <f t="shared" ref="D55:F55" si="4">SUM(D39:D54)</f>
        <v>72123</v>
      </c>
      <c r="E55" s="171">
        <f t="shared" si="4"/>
        <v>72123</v>
      </c>
      <c r="F55" s="171">
        <f t="shared" si="4"/>
        <v>72123</v>
      </c>
      <c r="H55" s="8"/>
    </row>
    <row r="56" spans="1:8">
      <c r="A56" s="61"/>
      <c r="B56" s="61"/>
      <c r="C56" s="61"/>
      <c r="D56" s="61"/>
      <c r="E56" s="61"/>
      <c r="F56" s="61"/>
      <c r="G56" s="61"/>
      <c r="H56" s="8"/>
    </row>
    <row r="57" spans="1:8">
      <c r="A57" s="83" t="s">
        <v>360</v>
      </c>
      <c r="B57" s="22"/>
      <c r="C57" s="88"/>
      <c r="D57" s="61"/>
      <c r="E57" s="61"/>
      <c r="F57" s="61"/>
      <c r="G57" s="61"/>
      <c r="H57" s="8"/>
    </row>
    <row r="58" spans="1:8">
      <c r="A58" s="9"/>
      <c r="D58" s="61"/>
      <c r="E58" s="61"/>
      <c r="F58" s="61"/>
      <c r="G58" s="61"/>
      <c r="H58" s="8"/>
    </row>
    <row r="59" spans="1:8" ht="30">
      <c r="A59" s="177" t="s">
        <v>91</v>
      </c>
      <c r="B59" s="177" t="s">
        <v>3</v>
      </c>
      <c r="C59" s="177" t="s">
        <v>127</v>
      </c>
      <c r="D59" s="61"/>
      <c r="E59" s="61"/>
      <c r="F59" s="61"/>
      <c r="G59" s="61"/>
      <c r="H59" s="8"/>
    </row>
    <row r="60" spans="1:8">
      <c r="A60" s="31">
        <v>1</v>
      </c>
      <c r="B60" s="112" t="s">
        <v>224</v>
      </c>
      <c r="C60" s="139"/>
      <c r="D60" s="61"/>
      <c r="E60" s="61"/>
      <c r="F60" s="61"/>
      <c r="G60" s="61"/>
      <c r="H60" s="8"/>
    </row>
    <row r="61" spans="1:8">
      <c r="A61" s="31">
        <v>2</v>
      </c>
      <c r="B61" s="112" t="s">
        <v>225</v>
      </c>
      <c r="C61" s="139"/>
      <c r="D61" s="61"/>
      <c r="E61" s="61"/>
      <c r="F61" s="61"/>
      <c r="G61" s="61"/>
      <c r="H61" s="8"/>
    </row>
    <row r="62" spans="1:8">
      <c r="A62" s="31">
        <v>3</v>
      </c>
      <c r="B62" s="112" t="s">
        <v>226</v>
      </c>
      <c r="C62" s="139"/>
      <c r="D62" s="61"/>
      <c r="E62" s="61"/>
      <c r="F62" s="61"/>
      <c r="G62" s="61"/>
      <c r="H62" s="8"/>
    </row>
    <row r="63" spans="1:8" ht="15.75" customHeight="1">
      <c r="A63" s="189">
        <v>4</v>
      </c>
      <c r="B63" s="166" t="s">
        <v>227</v>
      </c>
      <c r="C63" s="139">
        <v>2000</v>
      </c>
      <c r="D63" s="61"/>
      <c r="E63" s="61"/>
      <c r="F63" s="61"/>
      <c r="G63" s="61"/>
      <c r="H63" s="8"/>
    </row>
    <row r="64" spans="1:8">
      <c r="A64" s="110"/>
      <c r="B64" s="110" t="s">
        <v>7</v>
      </c>
      <c r="C64" s="190">
        <f>SUM(C60:C63)</f>
        <v>2000</v>
      </c>
      <c r="D64" s="61"/>
      <c r="E64" s="61"/>
      <c r="F64" s="61"/>
      <c r="G64" s="61"/>
      <c r="H64" s="8"/>
    </row>
    <row r="65" spans="1:7" s="133" customFormat="1">
      <c r="B65" s="130"/>
      <c r="C65" s="130"/>
      <c r="D65" s="131"/>
      <c r="E65" s="131"/>
      <c r="F65" s="131"/>
      <c r="G65" s="132"/>
    </row>
    <row r="66" spans="1:7" s="133" customFormat="1">
      <c r="B66" s="130" t="s">
        <v>207</v>
      </c>
      <c r="C66" s="203">
        <f>D55+C64</f>
        <v>74123</v>
      </c>
      <c r="D66" s="131"/>
      <c r="E66" s="131"/>
      <c r="F66" s="144"/>
      <c r="G66" s="132"/>
    </row>
    <row r="68" spans="1:7">
      <c r="B68" s="8"/>
      <c r="C68" s="8"/>
    </row>
    <row r="69" spans="1:7">
      <c r="A69" s="83"/>
      <c r="B69" s="83" t="s">
        <v>351</v>
      </c>
      <c r="C69" s="83"/>
      <c r="D69" s="83"/>
    </row>
    <row r="70" spans="1:7">
      <c r="B70" s="8"/>
      <c r="C70" s="202"/>
    </row>
    <row r="71" spans="1:7" ht="60">
      <c r="B71" s="157"/>
      <c r="C71" s="206" t="s">
        <v>260</v>
      </c>
      <c r="D71" s="208" t="s">
        <v>261</v>
      </c>
    </row>
    <row r="72" spans="1:7">
      <c r="B72" s="157" t="s">
        <v>254</v>
      </c>
      <c r="C72" s="206"/>
      <c r="D72" s="208"/>
    </row>
    <row r="73" spans="1:7" ht="15.75" customHeight="1">
      <c r="B73" s="157" t="s">
        <v>255</v>
      </c>
      <c r="C73" s="234">
        <f>Трактор!D40</f>
        <v>23072.799999999999</v>
      </c>
      <c r="D73" s="235">
        <f>C73/опер2</f>
        <v>9.2002258042944013E-2</v>
      </c>
      <c r="E73" s="9">
        <f>C73/C78</f>
        <v>9.2002258042944013E-2</v>
      </c>
    </row>
    <row r="74" spans="1:7" ht="15" customHeight="1">
      <c r="B74" s="157" t="s">
        <v>256</v>
      </c>
      <c r="C74" s="234">
        <f>Трактор!D62</f>
        <v>1383.84</v>
      </c>
      <c r="D74" s="235">
        <f>C74/опер2</f>
        <v>5.5180300947499927E-3</v>
      </c>
    </row>
    <row r="75" spans="1:7" ht="15" customHeight="1">
      <c r="B75" s="157" t="s">
        <v>257</v>
      </c>
      <c r="C75" s="234">
        <f>Трактор!D82</f>
        <v>9880.32</v>
      </c>
      <c r="D75" s="235">
        <f>C75/опер2</f>
        <v>3.9397548203376292E-2</v>
      </c>
    </row>
    <row r="76" spans="1:7" ht="17.25" customHeight="1">
      <c r="B76" s="157" t="s">
        <v>171</v>
      </c>
      <c r="C76" s="234">
        <f>Черешня!D42</f>
        <v>3799.5333333333333</v>
      </c>
      <c r="D76" s="235">
        <f>C76/опер2</f>
        <v>1.5150551566177513E-2</v>
      </c>
    </row>
    <row r="77" spans="1:7" ht="16.5" customHeight="1">
      <c r="B77" s="207" t="s">
        <v>258</v>
      </c>
      <c r="C77" s="235">
        <f>Молоко!D43</f>
        <v>212648.65575757573</v>
      </c>
      <c r="D77" s="235">
        <f>C77/опер2</f>
        <v>0.84793161209275225</v>
      </c>
    </row>
    <row r="78" spans="1:7" ht="16.5" customHeight="1">
      <c r="B78" s="209" t="s">
        <v>7</v>
      </c>
      <c r="C78" s="236">
        <f>SUM(C73:C77)</f>
        <v>250785.14909090905</v>
      </c>
      <c r="D78" s="236">
        <f>SUM(D73:D77)</f>
        <v>1</v>
      </c>
    </row>
    <row r="79" spans="1:7" ht="16.5" customHeight="1"/>
    <row r="82" spans="1:13">
      <c r="J82" s="137"/>
    </row>
    <row r="83" spans="1:13">
      <c r="A83" s="133"/>
      <c r="J83" s="144"/>
      <c r="K83" s="145"/>
      <c r="L83" s="133"/>
      <c r="M83" s="133"/>
    </row>
    <row r="84" spans="1:13">
      <c r="A84" s="133"/>
      <c r="J84" s="144"/>
      <c r="K84" s="145"/>
      <c r="L84" s="133"/>
      <c r="M84" s="133"/>
    </row>
    <row r="85" spans="1:13">
      <c r="A85" s="133"/>
      <c r="J85" s="144"/>
      <c r="K85" s="145"/>
      <c r="L85" s="133"/>
      <c r="M85" s="133"/>
    </row>
    <row r="86" spans="1:13">
      <c r="A86" s="133"/>
      <c r="J86" s="144"/>
      <c r="K86" s="145"/>
      <c r="L86" s="133"/>
      <c r="M86" s="133"/>
    </row>
    <row r="87" spans="1:13">
      <c r="A87" s="133"/>
      <c r="J87" s="144"/>
      <c r="K87" s="145"/>
      <c r="L87" s="133"/>
      <c r="M87" s="133"/>
    </row>
    <row r="88" spans="1:13">
      <c r="A88" s="133"/>
      <c r="J88" s="144"/>
      <c r="K88" s="145"/>
      <c r="L88" s="133"/>
      <c r="M88" s="133"/>
    </row>
    <row r="89" spans="1:13">
      <c r="A89" s="133"/>
      <c r="J89" s="144"/>
      <c r="K89" s="145"/>
      <c r="L89" s="133"/>
      <c r="M89" s="133"/>
    </row>
    <row r="90" spans="1:13">
      <c r="A90" s="133"/>
      <c r="J90" s="144"/>
      <c r="K90" s="145"/>
      <c r="L90" s="133"/>
      <c r="M90" s="133"/>
    </row>
    <row r="91" spans="1:13">
      <c r="A91" s="133"/>
      <c r="J91" s="144"/>
      <c r="K91" s="145"/>
      <c r="L91" s="133"/>
      <c r="M91" s="133"/>
    </row>
    <row r="92" spans="1:13">
      <c r="A92" s="133"/>
      <c r="J92" s="144"/>
      <c r="K92" s="145"/>
      <c r="L92" s="133"/>
      <c r="M92" s="133"/>
    </row>
    <row r="93" spans="1:13">
      <c r="A93" s="133"/>
      <c r="J93" s="144"/>
      <c r="K93" s="145"/>
      <c r="L93" s="133"/>
      <c r="M93" s="133"/>
    </row>
    <row r="94" spans="1:13">
      <c r="A94" s="133"/>
      <c r="J94" s="144"/>
      <c r="K94" s="145"/>
      <c r="L94" s="133"/>
      <c r="M94" s="133"/>
    </row>
    <row r="95" spans="1:13">
      <c r="A95" s="133"/>
      <c r="J95" s="144"/>
      <c r="K95" s="145"/>
      <c r="L95" s="133"/>
      <c r="M95" s="133"/>
    </row>
    <row r="96" spans="1:13">
      <c r="A96" s="133"/>
      <c r="J96" s="144"/>
      <c r="K96" s="145"/>
      <c r="L96" s="133"/>
      <c r="M96" s="133"/>
    </row>
    <row r="97" spans="1:13">
      <c r="A97" s="133"/>
      <c r="J97" s="144"/>
      <c r="K97" s="145"/>
      <c r="L97" s="133"/>
      <c r="M97" s="133"/>
    </row>
    <row r="98" spans="1:13">
      <c r="A98" s="133"/>
      <c r="J98" s="144"/>
      <c r="K98" s="145"/>
      <c r="L98" s="133"/>
      <c r="M98" s="133"/>
    </row>
    <row r="99" spans="1:13">
      <c r="A99" s="133"/>
      <c r="J99" s="144"/>
      <c r="K99" s="145"/>
      <c r="L99" s="133"/>
      <c r="M99" s="133"/>
    </row>
    <row r="100" spans="1:13">
      <c r="A100" s="133"/>
      <c r="J100" s="144"/>
      <c r="K100" s="145"/>
      <c r="L100" s="133"/>
      <c r="M100" s="133"/>
    </row>
    <row r="101" spans="1:13">
      <c r="A101" s="133"/>
      <c r="J101" s="144"/>
      <c r="K101" s="145"/>
      <c r="L101" s="133"/>
      <c r="M101" s="133"/>
    </row>
    <row r="102" spans="1:13">
      <c r="A102" s="133"/>
      <c r="J102" s="144"/>
      <c r="K102" s="145"/>
      <c r="L102" s="133"/>
      <c r="M102" s="133"/>
    </row>
    <row r="103" spans="1:13">
      <c r="A103" s="133"/>
      <c r="J103" s="144"/>
      <c r="K103" s="145"/>
      <c r="L103" s="133"/>
      <c r="M103" s="133"/>
    </row>
    <row r="104" spans="1:13">
      <c r="A104" s="133"/>
      <c r="J104" s="144"/>
      <c r="K104" s="145"/>
      <c r="L104" s="133"/>
      <c r="M104" s="133"/>
    </row>
    <row r="105" spans="1:13">
      <c r="A105" s="133"/>
      <c r="J105" s="144"/>
      <c r="K105" s="145"/>
      <c r="L105" s="133"/>
      <c r="M105" s="133"/>
    </row>
    <row r="106" spans="1:13">
      <c r="A106" s="133"/>
      <c r="J106" s="144"/>
      <c r="K106" s="145"/>
      <c r="L106" s="133"/>
      <c r="M106" s="133"/>
    </row>
    <row r="107" spans="1:13">
      <c r="A107" s="133"/>
      <c r="J107" s="144"/>
      <c r="K107" s="145"/>
      <c r="L107" s="133"/>
      <c r="M107" s="133"/>
    </row>
    <row r="108" spans="1:13">
      <c r="A108" s="133"/>
      <c r="B108" s="141"/>
      <c r="C108" s="141"/>
      <c r="D108" s="141"/>
      <c r="E108" s="7"/>
      <c r="F108" s="7"/>
      <c r="G108" s="7"/>
      <c r="H108" s="156"/>
      <c r="I108" s="145"/>
      <c r="J108" s="144"/>
      <c r="K108" s="145"/>
      <c r="L108" s="133"/>
      <c r="M108" s="133"/>
    </row>
    <row r="120" spans="2:10">
      <c r="B120" s="12"/>
      <c r="C120" s="7"/>
      <c r="D120" s="7"/>
      <c r="E120" s="7"/>
      <c r="F120" s="7"/>
      <c r="G120" s="7"/>
      <c r="H120" s="156"/>
      <c r="J120" s="147"/>
    </row>
    <row r="122" spans="2:10" ht="12.75" customHeight="1"/>
    <row r="137" spans="10:10">
      <c r="J137" s="10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3"/>
  <sheetViews>
    <sheetView topLeftCell="A87" workbookViewId="0">
      <selection activeCell="B101" sqref="B101"/>
    </sheetView>
  </sheetViews>
  <sheetFormatPr defaultRowHeight="15"/>
  <cols>
    <col min="1" max="1" width="4.28515625" customWidth="1"/>
    <col min="2" max="2" width="28.85546875" customWidth="1"/>
    <col min="3" max="4" width="11.5703125" customWidth="1"/>
    <col min="5" max="5" width="10.85546875" customWidth="1"/>
    <col min="6" max="7" width="9.28515625" bestFit="1" customWidth="1"/>
    <col min="8" max="8" width="11.140625" bestFit="1" customWidth="1"/>
    <col min="18" max="18" width="10.5703125" customWidth="1"/>
  </cols>
  <sheetData>
    <row r="2" spans="1:16">
      <c r="A2" s="83" t="s">
        <v>214</v>
      </c>
      <c r="B2" s="22"/>
      <c r="C2" s="88"/>
      <c r="D2" s="88"/>
      <c r="E2" s="89"/>
      <c r="F2" s="182"/>
      <c r="G2" s="182"/>
      <c r="H2" s="182"/>
    </row>
    <row r="3" spans="1:16">
      <c r="D3" s="90"/>
      <c r="E3" s="90"/>
      <c r="F3" s="268" t="s">
        <v>59</v>
      </c>
      <c r="G3" s="269"/>
      <c r="H3" s="270"/>
    </row>
    <row r="4" spans="1:16" ht="30">
      <c r="A4" s="161" t="s">
        <v>91</v>
      </c>
      <c r="B4" s="161" t="s">
        <v>3</v>
      </c>
      <c r="C4" s="161" t="s">
        <v>4</v>
      </c>
      <c r="D4" s="161" t="s">
        <v>18</v>
      </c>
      <c r="E4" s="161" t="s">
        <v>5</v>
      </c>
      <c r="F4" s="183" t="s">
        <v>51</v>
      </c>
      <c r="G4" s="175" t="s">
        <v>37</v>
      </c>
      <c r="H4" s="176" t="s">
        <v>38</v>
      </c>
    </row>
    <row r="5" spans="1:16">
      <c r="A5" s="31">
        <v>1</v>
      </c>
      <c r="B5" s="112" t="s">
        <v>92</v>
      </c>
      <c r="C5" s="113">
        <v>1</v>
      </c>
      <c r="D5" s="169">
        <v>170000</v>
      </c>
      <c r="E5" s="68">
        <f>D5*C5</f>
        <v>170000</v>
      </c>
      <c r="F5" s="184">
        <f>E5*ам_тех</f>
        <v>20400</v>
      </c>
      <c r="G5" s="68">
        <f>(E5-F5)*ам_тех</f>
        <v>17952</v>
      </c>
      <c r="H5" s="185">
        <f>(E5-G5-F5)*ам_тех</f>
        <v>15797.76</v>
      </c>
    </row>
    <row r="6" spans="1:16">
      <c r="A6" s="31">
        <v>2</v>
      </c>
      <c r="B6" s="112" t="s">
        <v>94</v>
      </c>
      <c r="C6" s="113">
        <v>1</v>
      </c>
      <c r="D6" s="67">
        <v>5600</v>
      </c>
      <c r="E6" s="68">
        <f>D6*C6</f>
        <v>5600</v>
      </c>
      <c r="F6" s="184">
        <f>E6*ам_тех</f>
        <v>672</v>
      </c>
      <c r="G6" s="68">
        <f>(E6-F6)*ам_тех</f>
        <v>591.36</v>
      </c>
      <c r="H6" s="185">
        <f>(E6-G6-F6)*ам_тех</f>
        <v>520.39679999999998</v>
      </c>
    </row>
    <row r="7" spans="1:16">
      <c r="A7" s="110"/>
      <c r="B7" s="110" t="s">
        <v>7</v>
      </c>
      <c r="C7" s="170"/>
      <c r="D7" s="170"/>
      <c r="E7" s="171">
        <f>SUM(E5:E6)</f>
        <v>175600</v>
      </c>
      <c r="F7" s="186">
        <f>SUM(F5:F6)</f>
        <v>21072</v>
      </c>
      <c r="G7" s="187">
        <f>SUM(G5:G6)</f>
        <v>18543.36</v>
      </c>
      <c r="H7" s="188">
        <f>SUM(H5:H6)</f>
        <v>16318.156800000001</v>
      </c>
    </row>
    <row r="9" spans="1:16">
      <c r="A9" s="22"/>
      <c r="B9" s="22" t="s">
        <v>53</v>
      </c>
      <c r="C9" s="22"/>
      <c r="D9" s="22"/>
      <c r="E9" s="22"/>
      <c r="F9" s="22"/>
      <c r="G9" s="22"/>
      <c r="H9" s="22"/>
      <c r="I9" s="22"/>
      <c r="J9" s="22"/>
      <c r="K9" s="22"/>
    </row>
    <row r="11" spans="1:16" ht="30">
      <c r="A11" s="161" t="s">
        <v>91</v>
      </c>
      <c r="B11" s="52" t="s">
        <v>27</v>
      </c>
      <c r="C11" s="52" t="s">
        <v>229</v>
      </c>
      <c r="D11" s="52" t="s">
        <v>230</v>
      </c>
      <c r="E11" s="52" t="s">
        <v>231</v>
      </c>
      <c r="F11" s="52" t="s">
        <v>232</v>
      </c>
      <c r="G11" s="52" t="s">
        <v>233</v>
      </c>
      <c r="H11" s="52" t="s">
        <v>234</v>
      </c>
      <c r="I11" s="52" t="s">
        <v>235</v>
      </c>
      <c r="J11" s="52" t="s">
        <v>233</v>
      </c>
      <c r="K11" s="52" t="s">
        <v>236</v>
      </c>
    </row>
    <row r="12" spans="1:16">
      <c r="A12" s="94">
        <v>1</v>
      </c>
      <c r="B12" s="63" t="s">
        <v>175</v>
      </c>
      <c r="C12" s="49">
        <v>1</v>
      </c>
      <c r="D12" s="49">
        <v>1600</v>
      </c>
      <c r="E12" s="59">
        <v>1</v>
      </c>
      <c r="F12" s="158">
        <f>E12*D12*C12</f>
        <v>1600</v>
      </c>
      <c r="G12" s="158">
        <f>F12*Нарахування_на_ФЗП</f>
        <v>588.80000000000007</v>
      </c>
      <c r="H12" s="158">
        <f>G12+F12</f>
        <v>2188.8000000000002</v>
      </c>
      <c r="I12" s="158">
        <f>F12*12</f>
        <v>19200</v>
      </c>
      <c r="J12" s="158">
        <f>I12*Нарахування_на_ФЗП</f>
        <v>7065.6000000000013</v>
      </c>
      <c r="K12" s="158">
        <f>J12+I12</f>
        <v>26265.600000000002</v>
      </c>
    </row>
    <row r="13" spans="1:16">
      <c r="A13" s="94">
        <v>2</v>
      </c>
      <c r="B13" s="63" t="s">
        <v>2</v>
      </c>
      <c r="C13" s="49">
        <v>0</v>
      </c>
      <c r="D13" s="49">
        <v>1600</v>
      </c>
      <c r="E13" s="59">
        <v>1</v>
      </c>
      <c r="F13" s="158">
        <f>E13*D13*C13</f>
        <v>0</v>
      </c>
      <c r="G13" s="158">
        <f>F13*Нарахування_на_ФЗП</f>
        <v>0</v>
      </c>
      <c r="H13" s="158">
        <f>G13+F13</f>
        <v>0</v>
      </c>
      <c r="I13" s="158">
        <f>F13*12</f>
        <v>0</v>
      </c>
      <c r="J13" s="158">
        <f>I13*Нарахування_на_ФЗП</f>
        <v>0</v>
      </c>
      <c r="K13" s="158">
        <f>J13+I13</f>
        <v>0</v>
      </c>
    </row>
    <row r="14" spans="1:16">
      <c r="A14" s="110"/>
      <c r="B14" s="110" t="s">
        <v>7</v>
      </c>
      <c r="C14" s="171">
        <f>SUM(C12:C13)</f>
        <v>1</v>
      </c>
      <c r="D14" s="171">
        <f>SUM(D12:D13)</f>
        <v>3200</v>
      </c>
      <c r="E14" s="170"/>
      <c r="F14" s="171">
        <f t="shared" ref="F14:K14" si="0">SUM(F12:F13)</f>
        <v>1600</v>
      </c>
      <c r="G14" s="171">
        <f t="shared" si="0"/>
        <v>588.80000000000007</v>
      </c>
      <c r="H14" s="171">
        <f t="shared" si="0"/>
        <v>2188.8000000000002</v>
      </c>
      <c r="I14" s="171">
        <f t="shared" si="0"/>
        <v>19200</v>
      </c>
      <c r="J14" s="171">
        <f t="shared" si="0"/>
        <v>7065.6000000000013</v>
      </c>
      <c r="K14" s="171">
        <f t="shared" si="0"/>
        <v>26265.600000000002</v>
      </c>
    </row>
    <row r="16" spans="1:16">
      <c r="A16" s="83" t="s">
        <v>173</v>
      </c>
      <c r="B16" s="83"/>
      <c r="C16" s="83"/>
      <c r="D16" s="83"/>
      <c r="E16" s="83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7">
      <c r="B17" s="25"/>
    </row>
    <row r="18" spans="1:17" ht="45">
      <c r="B18" s="125" t="s">
        <v>243</v>
      </c>
      <c r="C18" s="125" t="s">
        <v>28</v>
      </c>
      <c r="D18" s="177" t="s">
        <v>174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23" t="s">
        <v>7</v>
      </c>
      <c r="Q18" s="90" t="s">
        <v>210</v>
      </c>
    </row>
    <row r="19" spans="1:17">
      <c r="B19" s="125"/>
      <c r="C19" s="125"/>
      <c r="D19" s="125" t="s">
        <v>156</v>
      </c>
      <c r="E19" s="125" t="s">
        <v>157</v>
      </c>
      <c r="F19" s="125" t="s">
        <v>158</v>
      </c>
      <c r="G19" s="125" t="s">
        <v>159</v>
      </c>
      <c r="H19" s="125" t="s">
        <v>160</v>
      </c>
      <c r="I19" s="125" t="s">
        <v>161</v>
      </c>
      <c r="J19" s="125" t="s">
        <v>162</v>
      </c>
      <c r="K19" s="125" t="s">
        <v>163</v>
      </c>
      <c r="L19" s="125" t="s">
        <v>164</v>
      </c>
      <c r="M19" s="125" t="s">
        <v>165</v>
      </c>
      <c r="N19" s="125" t="s">
        <v>166</v>
      </c>
      <c r="O19" s="125" t="s">
        <v>167</v>
      </c>
      <c r="P19" s="123"/>
      <c r="Q19" s="90"/>
    </row>
    <row r="20" spans="1:17">
      <c r="B20" s="122" t="s">
        <v>168</v>
      </c>
      <c r="C20" s="121" t="s">
        <v>124</v>
      </c>
      <c r="D20" s="121"/>
      <c r="E20" s="121"/>
      <c r="F20" s="121">
        <v>30</v>
      </c>
      <c r="G20" s="121">
        <v>30</v>
      </c>
      <c r="H20" s="121"/>
      <c r="I20" s="121"/>
      <c r="J20" s="121"/>
      <c r="K20" s="121"/>
      <c r="L20" s="121">
        <v>30</v>
      </c>
      <c r="M20" s="121">
        <v>30</v>
      </c>
      <c r="N20" s="121"/>
      <c r="O20" s="121"/>
      <c r="P20" s="123">
        <f>SUM(D20:O20)</f>
        <v>120</v>
      </c>
      <c r="Q20" s="149"/>
    </row>
    <row r="21" spans="1:17">
      <c r="B21" s="122" t="s">
        <v>169</v>
      </c>
      <c r="C21" s="121" t="s">
        <v>124</v>
      </c>
      <c r="D21" s="121"/>
      <c r="E21" s="121"/>
      <c r="F21" s="121">
        <v>1</v>
      </c>
      <c r="G21" s="121">
        <v>2</v>
      </c>
      <c r="H21" s="121"/>
      <c r="I21" s="121"/>
      <c r="J21" s="121"/>
      <c r="K21" s="121"/>
      <c r="L21" s="121"/>
      <c r="M21" s="121"/>
      <c r="N21" s="121"/>
      <c r="O21" s="121"/>
      <c r="P21" s="123">
        <f>SUM(D21:O21)</f>
        <v>3</v>
      </c>
      <c r="Q21" s="149">
        <f>P21-'Зобов"яз_членів'!F9</f>
        <v>0</v>
      </c>
    </row>
    <row r="22" spans="1:17" ht="30">
      <c r="B22" s="122" t="s">
        <v>170</v>
      </c>
      <c r="C22" s="121" t="s">
        <v>54</v>
      </c>
      <c r="D22" s="121">
        <v>200</v>
      </c>
      <c r="E22" s="121">
        <v>200</v>
      </c>
      <c r="F22" s="121">
        <v>50</v>
      </c>
      <c r="G22" s="121">
        <v>50</v>
      </c>
      <c r="H22" s="121">
        <v>250</v>
      </c>
      <c r="I22" s="121">
        <v>250</v>
      </c>
      <c r="J22" s="121">
        <v>256</v>
      </c>
      <c r="K22" s="121">
        <v>260</v>
      </c>
      <c r="L22" s="121">
        <v>50</v>
      </c>
      <c r="M22" s="121">
        <v>50</v>
      </c>
      <c r="N22" s="121">
        <v>200</v>
      </c>
      <c r="O22" s="121">
        <v>200</v>
      </c>
      <c r="P22" s="123">
        <f>SUM(D22:O22)</f>
        <v>2016</v>
      </c>
      <c r="Q22" s="149">
        <f>P22-'Зобов"яз_членів'!H9</f>
        <v>0</v>
      </c>
    </row>
    <row r="24" spans="1:17" ht="17.25" customHeight="1">
      <c r="A24" s="22"/>
      <c r="B24" s="22" t="s">
        <v>239</v>
      </c>
      <c r="C24" s="22"/>
      <c r="D24" s="22"/>
      <c r="E24" s="22"/>
      <c r="F24" s="22"/>
      <c r="G24" s="22"/>
    </row>
    <row r="25" spans="1:17" ht="17.25" customHeight="1"/>
    <row r="26" spans="1:17" ht="30.75" customHeight="1">
      <c r="A26" s="177" t="s">
        <v>91</v>
      </c>
      <c r="B26" s="52" t="s">
        <v>23</v>
      </c>
      <c r="C26" s="52" t="s">
        <v>36</v>
      </c>
      <c r="D26" s="52" t="s">
        <v>125</v>
      </c>
      <c r="E26" s="52" t="s">
        <v>242</v>
      </c>
      <c r="F26" s="52" t="s">
        <v>176</v>
      </c>
      <c r="G26" s="52" t="s">
        <v>143</v>
      </c>
    </row>
    <row r="27" spans="1:17" ht="17.25" customHeight="1">
      <c r="A27" s="94">
        <v>1</v>
      </c>
      <c r="B27" s="53" t="s">
        <v>203</v>
      </c>
      <c r="C27" s="122" t="s">
        <v>9</v>
      </c>
      <c r="D27" s="134">
        <f>P20</f>
        <v>120</v>
      </c>
      <c r="E27" s="62">
        <v>18</v>
      </c>
      <c r="F27" s="62">
        <f>дп</f>
        <v>9.6</v>
      </c>
      <c r="G27" s="111">
        <f>D27*E27*F27</f>
        <v>20736</v>
      </c>
    </row>
    <row r="28" spans="1:17" ht="17.25" customHeight="1">
      <c r="A28" s="94"/>
      <c r="B28" s="53" t="s">
        <v>263</v>
      </c>
      <c r="C28" s="122" t="s">
        <v>264</v>
      </c>
      <c r="D28" s="53"/>
      <c r="E28" s="53"/>
      <c r="F28" s="53"/>
      <c r="G28" s="139">
        <v>1300</v>
      </c>
    </row>
    <row r="29" spans="1:17" ht="17.25" customHeight="1">
      <c r="A29" s="94">
        <v>2</v>
      </c>
      <c r="B29" s="172" t="s">
        <v>223</v>
      </c>
      <c r="C29" s="173"/>
      <c r="D29" s="174"/>
      <c r="E29" s="7"/>
      <c r="F29" s="7"/>
      <c r="G29" s="147">
        <f>G27*5%</f>
        <v>1036.8</v>
      </c>
    </row>
    <row r="30" spans="1:17" ht="17.25" customHeight="1">
      <c r="A30" s="110"/>
      <c r="B30" s="110" t="s">
        <v>7</v>
      </c>
      <c r="C30" s="171"/>
      <c r="D30" s="171">
        <f>SUM(D27:D29)</f>
        <v>120</v>
      </c>
      <c r="E30" s="170"/>
      <c r="F30" s="171">
        <f>SUM(F27:F29)</f>
        <v>9.6</v>
      </c>
      <c r="G30" s="171">
        <f>SUM(G27:G29)</f>
        <v>23072.799999999999</v>
      </c>
    </row>
    <row r="31" spans="1:17">
      <c r="B31" s="64"/>
      <c r="C31" s="12"/>
      <c r="D31" s="9"/>
      <c r="E31" s="9"/>
      <c r="F31" s="8"/>
      <c r="G31" s="8"/>
      <c r="H31" s="10"/>
      <c r="I31" s="8"/>
    </row>
    <row r="32" spans="1:17" ht="30">
      <c r="A32" s="177" t="s">
        <v>91</v>
      </c>
      <c r="B32" s="52" t="s">
        <v>23</v>
      </c>
      <c r="C32" s="52" t="s">
        <v>228</v>
      </c>
      <c r="D32" s="9"/>
    </row>
    <row r="33" spans="1:9" ht="33" customHeight="1">
      <c r="A33" s="94">
        <v>1</v>
      </c>
      <c r="B33" s="53" t="s">
        <v>262</v>
      </c>
      <c r="C33" s="111">
        <f>опер*'Вхідні - Адмін_витрати'!D73</f>
        <v>6819.4833729171387</v>
      </c>
      <c r="D33" s="9"/>
    </row>
    <row r="34" spans="1:9" ht="29.25" customHeight="1">
      <c r="A34" s="94">
        <v>2</v>
      </c>
      <c r="B34" s="53" t="s">
        <v>215</v>
      </c>
      <c r="C34" s="111">
        <f>K14*60%</f>
        <v>15759.36</v>
      </c>
    </row>
    <row r="35" spans="1:9" ht="18" customHeight="1">
      <c r="A35" s="94">
        <v>3</v>
      </c>
      <c r="B35" s="53" t="s">
        <v>201</v>
      </c>
      <c r="C35" s="111">
        <f>F7*E40</f>
        <v>14159.3793276982</v>
      </c>
    </row>
    <row r="36" spans="1:9" ht="18" customHeight="1">
      <c r="A36" s="94">
        <v>4</v>
      </c>
      <c r="B36" s="53" t="s">
        <v>307</v>
      </c>
      <c r="C36" s="111"/>
    </row>
    <row r="37" spans="1:9" ht="18" customHeight="1">
      <c r="A37" s="94">
        <v>5</v>
      </c>
      <c r="B37" s="53" t="s">
        <v>249</v>
      </c>
      <c r="C37" s="111"/>
    </row>
    <row r="38" spans="1:9" ht="15.75" customHeight="1">
      <c r="A38" s="94">
        <v>6</v>
      </c>
      <c r="B38" s="53" t="s">
        <v>349</v>
      </c>
      <c r="C38" s="111">
        <f>G30</f>
        <v>23072.799999999999</v>
      </c>
    </row>
    <row r="39" spans="1:9" ht="15.75" customHeight="1">
      <c r="A39" s="94">
        <v>7</v>
      </c>
      <c r="B39" s="53" t="s">
        <v>348</v>
      </c>
      <c r="C39" s="111"/>
    </row>
    <row r="40" spans="1:9">
      <c r="A40" s="51"/>
      <c r="B40" s="51" t="s">
        <v>7</v>
      </c>
      <c r="C40" s="193">
        <f>SUM(C33:C39)</f>
        <v>59811.022700615344</v>
      </c>
      <c r="D40" s="155">
        <f>SUM(C38:C39)</f>
        <v>23072.799999999999</v>
      </c>
      <c r="E40" s="192">
        <f>D40/C99</f>
        <v>0.67195232192948939</v>
      </c>
    </row>
    <row r="41" spans="1:9" ht="14.25" customHeight="1">
      <c r="A41" s="141"/>
      <c r="B41" s="263" t="s">
        <v>366</v>
      </c>
      <c r="C41" s="156">
        <f>C40*сф</f>
        <v>598.11022700615342</v>
      </c>
      <c r="D41" s="264"/>
      <c r="E41" s="192"/>
    </row>
    <row r="42" spans="1:9">
      <c r="A42" s="204"/>
      <c r="B42" s="51" t="s">
        <v>5</v>
      </c>
      <c r="C42" s="205">
        <f>C41+C40</f>
        <v>60409.132927621496</v>
      </c>
      <c r="D42" s="155"/>
      <c r="E42" s="192"/>
    </row>
    <row r="43" spans="1:9">
      <c r="B43" s="156" t="s">
        <v>267</v>
      </c>
      <c r="C43" s="156">
        <f>C42/P20</f>
        <v>503.40944106351247</v>
      </c>
      <c r="D43" s="90" t="s">
        <v>286</v>
      </c>
      <c r="E43" s="232">
        <v>1400</v>
      </c>
      <c r="F43" s="90" t="s">
        <v>287</v>
      </c>
      <c r="G43" s="193">
        <f>C43-E43</f>
        <v>-896.59055893648747</v>
      </c>
      <c r="H43">
        <f>E43/C43</f>
        <v>2.7810364403224801</v>
      </c>
    </row>
    <row r="44" spans="1:9">
      <c r="B44" s="156"/>
      <c r="C44" s="156"/>
    </row>
    <row r="45" spans="1:9" ht="16.5" customHeight="1">
      <c r="A45" s="22"/>
      <c r="B45" s="22" t="s">
        <v>240</v>
      </c>
      <c r="C45" s="22"/>
      <c r="D45" s="22"/>
      <c r="E45" s="22"/>
      <c r="F45" s="22"/>
      <c r="G45" s="22"/>
      <c r="H45" s="142"/>
      <c r="I45" s="143"/>
    </row>
    <row r="46" spans="1:9" ht="16.5" customHeight="1">
      <c r="B46" s="141"/>
      <c r="C46" s="141"/>
      <c r="D46" s="141"/>
      <c r="E46" s="7"/>
      <c r="F46" s="7"/>
      <c r="G46" s="7"/>
      <c r="H46" s="142"/>
      <c r="I46" s="143"/>
    </row>
    <row r="47" spans="1:9" ht="30" customHeight="1">
      <c r="A47" s="177" t="s">
        <v>91</v>
      </c>
      <c r="B47" s="52" t="s">
        <v>23</v>
      </c>
      <c r="C47" s="52" t="s">
        <v>36</v>
      </c>
      <c r="D47" s="52" t="s">
        <v>125</v>
      </c>
      <c r="E47" s="52" t="s">
        <v>242</v>
      </c>
      <c r="F47" s="52" t="s">
        <v>176</v>
      </c>
      <c r="G47" s="52" t="s">
        <v>143</v>
      </c>
      <c r="H47" s="142"/>
      <c r="I47" s="143"/>
    </row>
    <row r="48" spans="1:9" ht="16.5" customHeight="1">
      <c r="A48" s="94">
        <v>1</v>
      </c>
      <c r="B48" s="53" t="s">
        <v>203</v>
      </c>
      <c r="C48" s="122" t="s">
        <v>9</v>
      </c>
      <c r="D48" s="181">
        <f>'Зобов"яз_членів'!F9</f>
        <v>3</v>
      </c>
      <c r="E48" s="62">
        <v>16</v>
      </c>
      <c r="F48" s="181">
        <f>дп</f>
        <v>9.6</v>
      </c>
      <c r="G48" s="111">
        <f>D48*E48*F48</f>
        <v>460.79999999999995</v>
      </c>
      <c r="H48" s="142"/>
      <c r="I48" s="143"/>
    </row>
    <row r="49" spans="1:9" ht="16.5" customHeight="1">
      <c r="A49" s="94"/>
      <c r="B49" s="172"/>
      <c r="C49" s="173"/>
      <c r="D49" s="267"/>
      <c r="E49" s="7"/>
      <c r="F49" s="267"/>
      <c r="G49" s="147"/>
      <c r="H49" s="142"/>
      <c r="I49" s="143"/>
    </row>
    <row r="50" spans="1:9" ht="16.5" customHeight="1">
      <c r="A50" s="94"/>
      <c r="B50" s="172"/>
      <c r="C50" s="173"/>
      <c r="D50" s="267"/>
      <c r="E50" s="7"/>
      <c r="F50" s="267"/>
      <c r="G50" s="147"/>
      <c r="H50" s="142"/>
      <c r="I50" s="143"/>
    </row>
    <row r="51" spans="1:9" ht="17.25" customHeight="1">
      <c r="A51" s="94">
        <v>2</v>
      </c>
      <c r="B51" s="172" t="s">
        <v>216</v>
      </c>
      <c r="C51" s="173" t="s">
        <v>222</v>
      </c>
      <c r="D51" s="174"/>
      <c r="E51" s="7"/>
      <c r="F51" s="7"/>
      <c r="G51" s="147">
        <f>G48*5%</f>
        <v>23.04</v>
      </c>
      <c r="H51" s="142"/>
      <c r="I51" s="143"/>
    </row>
    <row r="52" spans="1:9" ht="16.5" customHeight="1">
      <c r="A52" s="110"/>
      <c r="B52" s="110" t="s">
        <v>7</v>
      </c>
      <c r="C52" s="171">
        <f>SUM(C48:C51)</f>
        <v>0</v>
      </c>
      <c r="D52" s="171">
        <f>SUM(D48:D51)</f>
        <v>3</v>
      </c>
      <c r="E52" s="170"/>
      <c r="F52" s="171">
        <f>SUM(F48:F51)</f>
        <v>9.6</v>
      </c>
      <c r="G52" s="193">
        <f>SUM(G48:G51)</f>
        <v>483.84</v>
      </c>
      <c r="H52" s="142"/>
      <c r="I52" s="143"/>
    </row>
    <row r="53" spans="1:9">
      <c r="B53" s="141"/>
      <c r="C53" s="141"/>
      <c r="D53" s="141"/>
      <c r="E53" s="7"/>
      <c r="F53" s="7"/>
      <c r="G53" s="7"/>
      <c r="H53" s="142"/>
      <c r="I53" s="143"/>
    </row>
    <row r="54" spans="1:9" ht="30">
      <c r="A54" s="177" t="s">
        <v>91</v>
      </c>
      <c r="B54" s="52" t="s">
        <v>23</v>
      </c>
      <c r="C54" s="52" t="s">
        <v>228</v>
      </c>
      <c r="D54" s="9"/>
    </row>
    <row r="55" spans="1:9" ht="30" customHeight="1">
      <c r="A55" s="94">
        <v>1</v>
      </c>
      <c r="B55" s="53" t="s">
        <v>262</v>
      </c>
      <c r="C55" s="111">
        <f>опер*'Вхідні - Адмін_витрати'!D74</f>
        <v>409.01294471315373</v>
      </c>
      <c r="D55" s="9"/>
    </row>
    <row r="56" spans="1:9" ht="30" customHeight="1">
      <c r="A56" s="94">
        <v>2</v>
      </c>
      <c r="B56" s="53" t="s">
        <v>215</v>
      </c>
      <c r="C56" s="111">
        <f>P21*30%</f>
        <v>0.89999999999999991</v>
      </c>
      <c r="D56" s="9"/>
    </row>
    <row r="57" spans="1:9" ht="20.25" customHeight="1">
      <c r="A57" s="94">
        <v>3</v>
      </c>
      <c r="B57" s="53" t="s">
        <v>201</v>
      </c>
      <c r="C57" s="111">
        <f>E62*F5</f>
        <v>822.15595090538011</v>
      </c>
    </row>
    <row r="58" spans="1:9" ht="14.25" customHeight="1">
      <c r="A58" s="94">
        <v>4</v>
      </c>
      <c r="B58" s="53" t="s">
        <v>305</v>
      </c>
      <c r="C58" s="111"/>
    </row>
    <row r="59" spans="1:9" ht="14.25" customHeight="1">
      <c r="A59" s="94">
        <v>5</v>
      </c>
      <c r="B59" s="53" t="s">
        <v>249</v>
      </c>
      <c r="C59" s="111"/>
    </row>
    <row r="60" spans="1:9" ht="15" customHeight="1">
      <c r="A60" s="94">
        <v>6</v>
      </c>
      <c r="B60" s="53" t="s">
        <v>349</v>
      </c>
      <c r="C60" s="111">
        <f>G52</f>
        <v>483.84</v>
      </c>
    </row>
    <row r="61" spans="1:9" ht="28.5" customHeight="1">
      <c r="A61" s="94">
        <v>7</v>
      </c>
      <c r="B61" s="53" t="s">
        <v>350</v>
      </c>
      <c r="C61" s="111">
        <f>2*450</f>
        <v>900</v>
      </c>
    </row>
    <row r="62" spans="1:9">
      <c r="A62" s="51"/>
      <c r="B62" s="51" t="s">
        <v>7</v>
      </c>
      <c r="C62" s="193">
        <f>SUM(C55:C61)</f>
        <v>2615.9088956185337</v>
      </c>
      <c r="D62" s="155">
        <f>SUM(C60:C61)</f>
        <v>1383.84</v>
      </c>
      <c r="E62" s="192">
        <f>D62/C99</f>
        <v>4.0301762299283339E-2</v>
      </c>
    </row>
    <row r="63" spans="1:9" ht="30">
      <c r="A63" s="141"/>
      <c r="B63" s="263" t="s">
        <v>366</v>
      </c>
      <c r="C63" s="156">
        <f>C62*сф</f>
        <v>26.159088956185339</v>
      </c>
      <c r="D63" s="155"/>
      <c r="E63" s="192"/>
    </row>
    <row r="64" spans="1:9">
      <c r="A64" s="204"/>
      <c r="B64" s="51" t="s">
        <v>5</v>
      </c>
      <c r="C64" s="205">
        <f>C63+C62</f>
        <v>2642.067984574719</v>
      </c>
      <c r="D64" s="155"/>
      <c r="E64" s="192"/>
    </row>
    <row r="65" spans="1:9">
      <c r="B65" s="156" t="s">
        <v>267</v>
      </c>
      <c r="C65" s="156">
        <f>C64/P21</f>
        <v>880.68932819157305</v>
      </c>
      <c r="D65" s="155" t="s">
        <v>297</v>
      </c>
      <c r="E65" s="156">
        <v>2300</v>
      </c>
      <c r="F65" t="s">
        <v>298</v>
      </c>
      <c r="G65" s="226">
        <f>C65-E65</f>
        <v>-1419.3106718084268</v>
      </c>
    </row>
    <row r="66" spans="1:9">
      <c r="B66" s="141"/>
      <c r="C66" s="141"/>
      <c r="D66" s="141"/>
      <c r="E66" s="7"/>
      <c r="F66" s="7"/>
      <c r="G66" s="7"/>
    </row>
    <row r="67" spans="1:9" ht="16.5" customHeight="1">
      <c r="A67" s="83"/>
      <c r="B67" s="265" t="s">
        <v>367</v>
      </c>
      <c r="C67" s="83"/>
      <c r="D67" s="83"/>
      <c r="E67" s="83"/>
      <c r="F67" s="83"/>
      <c r="G67" s="83"/>
    </row>
    <row r="68" spans="1:9" ht="13.5" customHeight="1">
      <c r="B68" s="168"/>
      <c r="C68" s="141"/>
      <c r="D68" s="141"/>
      <c r="E68" s="7"/>
      <c r="F68" s="7"/>
      <c r="G68" s="7"/>
      <c r="H68" s="142"/>
      <c r="I68" s="143"/>
    </row>
    <row r="69" spans="1:9" ht="30" customHeight="1">
      <c r="A69" s="177" t="s">
        <v>91</v>
      </c>
      <c r="B69" s="52" t="s">
        <v>23</v>
      </c>
      <c r="C69" s="52" t="s">
        <v>36</v>
      </c>
      <c r="D69" s="52" t="s">
        <v>237</v>
      </c>
      <c r="E69" s="52" t="s">
        <v>241</v>
      </c>
      <c r="F69" s="52" t="s">
        <v>176</v>
      </c>
      <c r="G69" s="52" t="s">
        <v>143</v>
      </c>
      <c r="H69" s="142"/>
      <c r="I69" s="143"/>
    </row>
    <row r="70" spans="1:9" ht="17.25" customHeight="1">
      <c r="A70" s="94">
        <v>1</v>
      </c>
      <c r="B70" s="53" t="s">
        <v>203</v>
      </c>
      <c r="C70" s="122" t="s">
        <v>9</v>
      </c>
      <c r="D70" s="181">
        <f>'Зобов"яз_членів'!H9</f>
        <v>2016</v>
      </c>
      <c r="E70" s="62">
        <v>25</v>
      </c>
      <c r="F70" s="181">
        <f>дп</f>
        <v>9.6</v>
      </c>
      <c r="G70" s="111">
        <f>D70*(E70/100)*F70</f>
        <v>4838.3999999999996</v>
      </c>
      <c r="H70" s="142"/>
      <c r="I70" s="143"/>
    </row>
    <row r="71" spans="1:9" ht="16.5" customHeight="1">
      <c r="A71" s="94">
        <v>2</v>
      </c>
      <c r="B71" s="172" t="s">
        <v>216</v>
      </c>
      <c r="C71" s="173" t="s">
        <v>222</v>
      </c>
      <c r="D71" s="174"/>
      <c r="E71" s="7"/>
      <c r="F71" s="7"/>
      <c r="G71" s="147">
        <f>G70*5%</f>
        <v>241.92</v>
      </c>
      <c r="H71" s="142"/>
      <c r="I71" s="143"/>
    </row>
    <row r="72" spans="1:9" ht="15.75" customHeight="1">
      <c r="A72" s="110"/>
      <c r="B72" s="110" t="s">
        <v>7</v>
      </c>
      <c r="C72" s="171">
        <f>SUM(C70:C71)</f>
        <v>0</v>
      </c>
      <c r="D72" s="171">
        <f>SUM(D70:D71)</f>
        <v>2016</v>
      </c>
      <c r="E72" s="170"/>
      <c r="F72" s="171">
        <f>SUM(F70:F71)</f>
        <v>9.6</v>
      </c>
      <c r="G72" s="171">
        <f>SUM(G70:G71)</f>
        <v>5080.32</v>
      </c>
      <c r="H72" s="142"/>
      <c r="I72" s="143"/>
    </row>
    <row r="73" spans="1:9" ht="24" customHeight="1">
      <c r="A73" s="168"/>
      <c r="B73" s="168"/>
      <c r="C73" s="168"/>
      <c r="D73" s="168"/>
      <c r="E73" s="168"/>
      <c r="F73" s="168"/>
      <c r="G73" s="168"/>
      <c r="H73" s="142"/>
      <c r="I73" s="143"/>
    </row>
    <row r="74" spans="1:9" ht="29.25" customHeight="1">
      <c r="A74" s="177" t="s">
        <v>91</v>
      </c>
      <c r="B74" s="52" t="s">
        <v>23</v>
      </c>
      <c r="C74" s="52" t="s">
        <v>228</v>
      </c>
      <c r="D74" s="9"/>
      <c r="E74" s="168"/>
      <c r="F74" s="168"/>
      <c r="G74" s="168"/>
      <c r="H74" s="142"/>
      <c r="I74" s="143"/>
    </row>
    <row r="75" spans="1:9" ht="30" customHeight="1">
      <c r="A75" s="94">
        <v>1</v>
      </c>
      <c r="B75" s="53" t="s">
        <v>262</v>
      </c>
      <c r="C75" s="111">
        <f>опер*'Вхідні - Адмін_витрати'!D75</f>
        <v>2920.264465478861</v>
      </c>
      <c r="D75" s="9"/>
      <c r="E75" s="168"/>
      <c r="F75" s="168"/>
      <c r="G75" s="168"/>
      <c r="H75" s="142"/>
      <c r="I75" s="143"/>
    </row>
    <row r="76" spans="1:9" ht="30.75" customHeight="1">
      <c r="A76" s="94">
        <v>2</v>
      </c>
      <c r="B76" s="53" t="s">
        <v>215</v>
      </c>
      <c r="C76" s="111">
        <f>K14*30%</f>
        <v>7879.68</v>
      </c>
      <c r="E76" s="168"/>
      <c r="F76" s="168"/>
      <c r="G76" s="168"/>
      <c r="H76" s="142"/>
      <c r="I76" s="143"/>
    </row>
    <row r="77" spans="1:9" ht="19.5" customHeight="1">
      <c r="A77" s="94">
        <v>3</v>
      </c>
      <c r="B77" s="53" t="s">
        <v>201</v>
      </c>
      <c r="C77" s="111">
        <f>E82*F5</f>
        <v>5870.0166817330364</v>
      </c>
      <c r="E77" s="168"/>
      <c r="F77" s="168"/>
      <c r="G77" s="168"/>
      <c r="H77" s="142"/>
      <c r="I77" s="143"/>
    </row>
    <row r="78" spans="1:9" ht="19.5" customHeight="1">
      <c r="A78" s="94">
        <v>4</v>
      </c>
      <c r="B78" s="53" t="s">
        <v>307</v>
      </c>
      <c r="C78" s="111"/>
      <c r="E78" s="168"/>
      <c r="F78" s="168"/>
      <c r="G78" s="168"/>
      <c r="H78" s="142"/>
      <c r="I78" s="143"/>
    </row>
    <row r="79" spans="1:9" ht="19.5" customHeight="1">
      <c r="A79" s="94">
        <v>5</v>
      </c>
      <c r="B79" s="53" t="s">
        <v>249</v>
      </c>
      <c r="C79" s="111"/>
      <c r="E79" s="168"/>
      <c r="F79" s="168"/>
      <c r="G79" s="168"/>
      <c r="H79" s="142"/>
      <c r="I79" s="143"/>
    </row>
    <row r="80" spans="1:9" ht="28.5" customHeight="1">
      <c r="A80" s="94">
        <v>6</v>
      </c>
      <c r="B80" s="53" t="s">
        <v>310</v>
      </c>
      <c r="C80" s="111">
        <f>G72</f>
        <v>5080.32</v>
      </c>
      <c r="E80" s="7"/>
      <c r="F80" s="7"/>
      <c r="G80" s="7"/>
      <c r="H80" s="142"/>
      <c r="I80" s="143"/>
    </row>
    <row r="81" spans="1:9" ht="29.25" customHeight="1">
      <c r="A81" s="94">
        <v>7</v>
      </c>
      <c r="B81" s="53" t="s">
        <v>311</v>
      </c>
      <c r="C81" s="111">
        <f>12*400</f>
        <v>4800</v>
      </c>
      <c r="E81" s="7"/>
      <c r="F81" s="7"/>
      <c r="G81" s="7"/>
      <c r="H81" s="142"/>
      <c r="I81" s="143"/>
    </row>
    <row r="82" spans="1:9" ht="18" customHeight="1">
      <c r="A82" s="51"/>
      <c r="B82" s="51" t="s">
        <v>7</v>
      </c>
      <c r="C82" s="193">
        <f>SUM(C75:C81)</f>
        <v>26550.281147211896</v>
      </c>
      <c r="D82" s="149">
        <f>SUM(C80:C81)</f>
        <v>9880.32</v>
      </c>
      <c r="E82" s="192">
        <f>D82/C99</f>
        <v>0.28774591577122727</v>
      </c>
      <c r="F82" s="7"/>
      <c r="G82" s="7"/>
      <c r="H82" s="142"/>
      <c r="I82" s="143"/>
    </row>
    <row r="83" spans="1:9" ht="30.75" customHeight="1">
      <c r="A83" s="204"/>
      <c r="B83" s="221" t="s">
        <v>366</v>
      </c>
      <c r="C83" s="205">
        <f>C82*сф</f>
        <v>265.50281147211894</v>
      </c>
      <c r="D83" s="149"/>
      <c r="E83" s="192"/>
      <c r="F83" s="7"/>
      <c r="G83" s="7"/>
      <c r="H83" s="142"/>
      <c r="I83" s="143"/>
    </row>
    <row r="84" spans="1:9" ht="18" customHeight="1">
      <c r="A84" s="204"/>
      <c r="B84" s="221" t="s">
        <v>5</v>
      </c>
      <c r="C84" s="205">
        <f>C82+C83</f>
        <v>26815.783958684013</v>
      </c>
      <c r="D84" s="149"/>
      <c r="E84" s="192"/>
      <c r="F84" s="7"/>
      <c r="G84" s="7"/>
      <c r="H84" s="142"/>
      <c r="I84" s="143"/>
    </row>
    <row r="85" spans="1:9" ht="18" customHeight="1">
      <c r="A85" s="7"/>
      <c r="B85" s="156" t="s">
        <v>268</v>
      </c>
      <c r="C85" s="156">
        <f>C84/P22</f>
        <v>13.301480138236117</v>
      </c>
      <c r="D85" s="7"/>
      <c r="E85" s="192"/>
      <c r="F85" s="7"/>
      <c r="G85" s="7"/>
      <c r="H85" s="142"/>
      <c r="I85" s="143"/>
    </row>
    <row r="86" spans="1:9" ht="18" customHeight="1">
      <c r="A86" s="7"/>
      <c r="B86" s="156"/>
      <c r="C86" s="156"/>
      <c r="D86" s="7"/>
      <c r="E86" s="192"/>
      <c r="F86" s="7"/>
      <c r="G86" s="7"/>
      <c r="H86" s="142"/>
      <c r="I86" s="143"/>
    </row>
    <row r="87" spans="1:9" ht="18" customHeight="1">
      <c r="A87" s="83"/>
      <c r="B87" s="265" t="s">
        <v>368</v>
      </c>
      <c r="C87" s="83"/>
      <c r="D87" s="83"/>
      <c r="E87" s="83"/>
      <c r="F87" s="83"/>
      <c r="G87" s="83"/>
      <c r="H87" s="142"/>
      <c r="I87" s="143"/>
    </row>
    <row r="88" spans="1:9" ht="15" customHeight="1">
      <c r="E88" s="7"/>
      <c r="F88" s="7"/>
      <c r="G88" s="7"/>
      <c r="H88" s="142"/>
      <c r="I88" s="143"/>
    </row>
    <row r="89" spans="1:9" ht="15" customHeight="1">
      <c r="A89" s="177" t="s">
        <v>91</v>
      </c>
      <c r="B89" s="52" t="s">
        <v>23</v>
      </c>
      <c r="C89" s="52" t="s">
        <v>228</v>
      </c>
      <c r="D89" s="141"/>
      <c r="E89" s="7"/>
      <c r="F89" s="7"/>
      <c r="G89" s="7"/>
      <c r="H89" s="142"/>
      <c r="I89" s="143"/>
    </row>
    <row r="90" spans="1:9" ht="28.5" customHeight="1">
      <c r="A90" s="94">
        <v>1</v>
      </c>
      <c r="B90" s="53" t="s">
        <v>262</v>
      </c>
      <c r="C90" s="111">
        <f>C33+C55+C75</f>
        <v>10148.760783109154</v>
      </c>
      <c r="D90" s="141"/>
      <c r="E90" s="7"/>
      <c r="F90" s="7"/>
      <c r="G90" s="7"/>
      <c r="H90" s="142"/>
      <c r="I90" s="143"/>
    </row>
    <row r="91" spans="1:9" ht="29.25" customHeight="1">
      <c r="A91" s="94">
        <v>2</v>
      </c>
      <c r="B91" s="53" t="s">
        <v>215</v>
      </c>
      <c r="C91" s="111">
        <f>C34+C56+C76</f>
        <v>23639.940000000002</v>
      </c>
      <c r="D91" s="141"/>
      <c r="E91" s="7"/>
      <c r="F91" s="7"/>
      <c r="G91" s="7"/>
      <c r="H91" s="142"/>
      <c r="I91" s="143"/>
    </row>
    <row r="92" spans="1:9" ht="15" customHeight="1">
      <c r="A92" s="94">
        <v>3</v>
      </c>
      <c r="B92" s="53" t="s">
        <v>201</v>
      </c>
      <c r="C92" s="111">
        <f>C35+C57+C77</f>
        <v>20851.551960336616</v>
      </c>
      <c r="D92" s="141"/>
      <c r="E92" s="7"/>
      <c r="F92" s="7"/>
      <c r="G92" s="7"/>
      <c r="H92" s="142"/>
      <c r="I92" s="143"/>
    </row>
    <row r="93" spans="1:9" ht="15" customHeight="1">
      <c r="A93" s="94">
        <v>4</v>
      </c>
      <c r="B93" s="53" t="s">
        <v>217</v>
      </c>
      <c r="C93" s="111">
        <f>C38+C60+C80</f>
        <v>28636.959999999999</v>
      </c>
      <c r="D93" s="141"/>
      <c r="E93" s="7"/>
      <c r="F93" s="7"/>
      <c r="G93" s="7"/>
      <c r="H93" s="142"/>
      <c r="I93" s="143"/>
    </row>
    <row r="94" spans="1:9" ht="15" customHeight="1">
      <c r="A94" s="94">
        <v>5</v>
      </c>
      <c r="B94" s="53" t="s">
        <v>288</v>
      </c>
      <c r="C94" s="111">
        <f>C81+C61</f>
        <v>5700</v>
      </c>
      <c r="D94" s="141"/>
      <c r="E94" s="7"/>
      <c r="F94" s="7"/>
      <c r="G94" s="7"/>
      <c r="H94" s="142"/>
      <c r="I94" s="143"/>
    </row>
    <row r="95" spans="1:9" ht="15" customHeight="1">
      <c r="A95" s="165">
        <v>6</v>
      </c>
      <c r="B95" s="172" t="s">
        <v>269</v>
      </c>
      <c r="C95" s="147">
        <f>C83+C63+C41</f>
        <v>889.77212743445762</v>
      </c>
      <c r="D95" s="141"/>
      <c r="E95" s="7"/>
      <c r="F95" s="7"/>
      <c r="G95" s="7"/>
      <c r="H95" s="142"/>
      <c r="I95" s="143"/>
    </row>
    <row r="96" spans="1:9" ht="15" customHeight="1">
      <c r="A96" s="253"/>
      <c r="B96" s="51" t="s">
        <v>7</v>
      </c>
      <c r="C96" s="205">
        <f>SUM(C90:C95)</f>
        <v>89866.984870880216</v>
      </c>
      <c r="D96" s="141"/>
      <c r="E96" s="7"/>
      <c r="F96" s="7"/>
      <c r="G96" s="7"/>
      <c r="H96" s="142"/>
      <c r="I96" s="143"/>
    </row>
    <row r="97" spans="1:18" ht="15" customHeight="1">
      <c r="A97" s="141"/>
      <c r="B97" s="141"/>
      <c r="C97" s="141"/>
      <c r="D97" s="141"/>
      <c r="E97" s="7"/>
      <c r="F97" s="7"/>
      <c r="G97" s="7"/>
      <c r="H97" s="142"/>
      <c r="I97" s="143"/>
    </row>
    <row r="98" spans="1:18" ht="15" customHeight="1">
      <c r="A98" s="141"/>
      <c r="B98" s="141"/>
      <c r="C98" s="141"/>
      <c r="D98" s="141"/>
      <c r="E98" s="7"/>
      <c r="F98" s="7"/>
      <c r="G98" s="7"/>
      <c r="H98" s="142"/>
      <c r="I98" s="143"/>
    </row>
    <row r="99" spans="1:18" ht="30" hidden="1">
      <c r="B99" s="141" t="s">
        <v>238</v>
      </c>
      <c r="C99" s="191">
        <f>D82+D62+D40</f>
        <v>34336.959999999999</v>
      </c>
      <c r="D99" s="141"/>
      <c r="E99" s="7"/>
      <c r="F99" s="7"/>
      <c r="G99" s="7"/>
      <c r="H99" s="142"/>
      <c r="I99" s="143"/>
    </row>
    <row r="100" spans="1:18">
      <c r="B100" s="141"/>
      <c r="C100" s="141"/>
      <c r="D100" s="141"/>
    </row>
    <row r="101" spans="1:18">
      <c r="C101" s="149"/>
    </row>
    <row r="102" spans="1:18">
      <c r="R102" s="90"/>
    </row>
    <row r="103" spans="1:18">
      <c r="R103" s="90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&amp;A&amp;RPage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41" workbookViewId="0">
      <selection activeCell="C41" sqref="C41"/>
    </sheetView>
  </sheetViews>
  <sheetFormatPr defaultRowHeight="15"/>
  <cols>
    <col min="1" max="1" width="4.28515625" customWidth="1"/>
    <col min="2" max="2" width="31.85546875" customWidth="1"/>
    <col min="3" max="4" width="11.5703125" customWidth="1"/>
    <col min="5" max="5" width="10.85546875" customWidth="1"/>
    <col min="6" max="7" width="9.28515625" bestFit="1" customWidth="1"/>
    <col min="8" max="8" width="11.140625" bestFit="1" customWidth="1"/>
    <col min="18" max="18" width="10.5703125" customWidth="1"/>
  </cols>
  <sheetData>
    <row r="2" spans="1:11">
      <c r="A2" s="83" t="s">
        <v>214</v>
      </c>
      <c r="B2" s="22"/>
      <c r="C2" s="88"/>
      <c r="D2" s="88"/>
      <c r="E2" s="89"/>
      <c r="F2" s="182"/>
      <c r="G2" s="182"/>
      <c r="H2" s="182"/>
    </row>
    <row r="3" spans="1:11">
      <c r="D3" s="90"/>
      <c r="E3" s="90"/>
      <c r="F3" s="268" t="s">
        <v>59</v>
      </c>
      <c r="G3" s="269"/>
      <c r="H3" s="270"/>
    </row>
    <row r="4" spans="1:11" ht="30">
      <c r="A4" s="177" t="s">
        <v>91</v>
      </c>
      <c r="B4" s="177" t="s">
        <v>3</v>
      </c>
      <c r="C4" s="177" t="s">
        <v>4</v>
      </c>
      <c r="D4" s="177" t="s">
        <v>18</v>
      </c>
      <c r="E4" s="177" t="s">
        <v>5</v>
      </c>
      <c r="F4" s="183" t="s">
        <v>51</v>
      </c>
      <c r="G4" s="177" t="s">
        <v>37</v>
      </c>
      <c r="H4" s="178" t="s">
        <v>38</v>
      </c>
    </row>
    <row r="5" spans="1:11" ht="30">
      <c r="A5" s="31">
        <v>1</v>
      </c>
      <c r="B5" s="112" t="s">
        <v>93</v>
      </c>
      <c r="C5" s="113">
        <v>1</v>
      </c>
      <c r="D5" s="169">
        <v>154900</v>
      </c>
      <c r="E5" s="68">
        <f>D5*C5</f>
        <v>154900</v>
      </c>
      <c r="F5" s="184">
        <f>E5*ам_тех</f>
        <v>18588</v>
      </c>
      <c r="G5" s="68">
        <f>(E5-F5)*ам_тех</f>
        <v>16357.439999999999</v>
      </c>
      <c r="H5" s="185">
        <f>(E5-G5-F5)*ам_тех</f>
        <v>14394.547199999999</v>
      </c>
    </row>
    <row r="6" spans="1:11">
      <c r="A6" s="110"/>
      <c r="B6" s="110" t="s">
        <v>7</v>
      </c>
      <c r="C6" s="170"/>
      <c r="D6" s="170"/>
      <c r="E6" s="171">
        <f>SUM(E5:E5)</f>
        <v>154900</v>
      </c>
      <c r="F6" s="186">
        <f>SUM(F5:F5)</f>
        <v>18588</v>
      </c>
      <c r="G6" s="187">
        <f>SUM(G5:G5)</f>
        <v>16357.439999999999</v>
      </c>
      <c r="H6" s="188">
        <f>SUM(H5:H5)</f>
        <v>14394.547199999999</v>
      </c>
    </row>
    <row r="8" spans="1:11">
      <c r="A8" s="83" t="s">
        <v>309</v>
      </c>
      <c r="B8" s="22"/>
      <c r="C8" s="88"/>
      <c r="D8" s="88"/>
      <c r="E8" s="89"/>
      <c r="F8" s="182"/>
      <c r="G8" s="182"/>
      <c r="H8" s="182"/>
    </row>
    <row r="10" spans="1:11" ht="45">
      <c r="A10" s="161" t="s">
        <v>91</v>
      </c>
      <c r="B10" s="161" t="s">
        <v>3</v>
      </c>
      <c r="C10" s="161" t="s">
        <v>4</v>
      </c>
      <c r="D10" s="161" t="s">
        <v>18</v>
      </c>
      <c r="E10" s="161" t="s">
        <v>5</v>
      </c>
      <c r="F10" s="161" t="s">
        <v>202</v>
      </c>
      <c r="G10" s="161" t="s">
        <v>37</v>
      </c>
      <c r="H10" s="161" t="s">
        <v>38</v>
      </c>
    </row>
    <row r="11" spans="1:11">
      <c r="A11" s="94">
        <v>1</v>
      </c>
      <c r="B11" s="112" t="s">
        <v>308</v>
      </c>
      <c r="C11" s="113">
        <v>1</v>
      </c>
      <c r="D11" s="115">
        <v>170000</v>
      </c>
      <c r="E11" s="68">
        <f>D11*C11</f>
        <v>170000</v>
      </c>
      <c r="F11" s="68">
        <f>D11*ам_буд</f>
        <v>5666.666666666667</v>
      </c>
      <c r="G11" s="68">
        <f>(D11-F11)*ам_буд</f>
        <v>5477.7777777777783</v>
      </c>
      <c r="H11" s="68">
        <f>(D11-G11)*ам_буд</f>
        <v>5484.0740740740739</v>
      </c>
    </row>
    <row r="12" spans="1:11">
      <c r="A12" s="94"/>
      <c r="B12" s="112"/>
      <c r="C12" s="113"/>
      <c r="D12" s="115"/>
      <c r="E12" s="68"/>
      <c r="F12" s="68"/>
      <c r="G12" s="68"/>
      <c r="H12" s="68"/>
    </row>
    <row r="13" spans="1:11">
      <c r="A13" s="22"/>
      <c r="B13" s="22" t="s">
        <v>53</v>
      </c>
      <c r="C13" s="22"/>
      <c r="D13" s="22"/>
      <c r="E13" s="22"/>
      <c r="F13" s="22"/>
      <c r="G13" s="22"/>
      <c r="H13" s="22"/>
      <c r="I13" s="22"/>
      <c r="J13" s="22"/>
      <c r="K13" s="22"/>
    </row>
    <row r="15" spans="1:11" ht="30">
      <c r="A15" s="177" t="s">
        <v>91</v>
      </c>
      <c r="B15" s="52" t="s">
        <v>27</v>
      </c>
      <c r="C15" s="52" t="s">
        <v>229</v>
      </c>
      <c r="D15" s="52" t="s">
        <v>230</v>
      </c>
      <c r="E15" s="52" t="s">
        <v>231</v>
      </c>
      <c r="F15" s="52" t="s">
        <v>232</v>
      </c>
      <c r="G15" s="52" t="s">
        <v>233</v>
      </c>
      <c r="H15" s="52" t="s">
        <v>234</v>
      </c>
      <c r="I15" s="52" t="s">
        <v>235</v>
      </c>
      <c r="J15" s="52" t="s">
        <v>233</v>
      </c>
      <c r="K15" s="52" t="s">
        <v>236</v>
      </c>
    </row>
    <row r="16" spans="1:11">
      <c r="A16" s="94">
        <v>1</v>
      </c>
      <c r="B16" s="63"/>
      <c r="C16" s="49"/>
      <c r="D16" s="49">
        <v>1600</v>
      </c>
      <c r="E16" s="59">
        <v>1</v>
      </c>
      <c r="F16" s="158">
        <f>E16*D16*C16</f>
        <v>0</v>
      </c>
      <c r="G16" s="158">
        <f>F16*Нарахування_на_ФЗП</f>
        <v>0</v>
      </c>
      <c r="H16" s="158">
        <f>G16+F16</f>
        <v>0</v>
      </c>
      <c r="I16" s="158">
        <f>F16*12</f>
        <v>0</v>
      </c>
      <c r="J16" s="158">
        <f>I16*Нарахування_на_ФЗП</f>
        <v>0</v>
      </c>
      <c r="K16" s="158">
        <f>J16+I16</f>
        <v>0</v>
      </c>
    </row>
    <row r="17" spans="1:16">
      <c r="A17" s="94">
        <v>2</v>
      </c>
      <c r="B17" s="63" t="s">
        <v>2</v>
      </c>
      <c r="C17" s="49">
        <v>0</v>
      </c>
      <c r="D17" s="49">
        <v>1600</v>
      </c>
      <c r="E17" s="59">
        <v>1</v>
      </c>
      <c r="F17" s="158">
        <f>E17*D17*C17</f>
        <v>0</v>
      </c>
      <c r="G17" s="158">
        <f>F17*Нарахування_на_ФЗП</f>
        <v>0</v>
      </c>
      <c r="H17" s="158">
        <f>G17+F17</f>
        <v>0</v>
      </c>
      <c r="I17" s="158">
        <f>F17*12</f>
        <v>0</v>
      </c>
      <c r="J17" s="158">
        <f>I17*Нарахування_на_ФЗП</f>
        <v>0</v>
      </c>
      <c r="K17" s="158">
        <f>J17+I17</f>
        <v>0</v>
      </c>
    </row>
    <row r="18" spans="1:16">
      <c r="A18" s="110"/>
      <c r="B18" s="110" t="s">
        <v>7</v>
      </c>
      <c r="C18" s="171">
        <f>SUM(C16:C17)</f>
        <v>0</v>
      </c>
      <c r="D18" s="171">
        <f>SUM(D16:D17)</f>
        <v>3200</v>
      </c>
      <c r="E18" s="170"/>
      <c r="F18" s="171">
        <f t="shared" ref="F18:K18" si="0">SUM(F16:F17)</f>
        <v>0</v>
      </c>
      <c r="G18" s="171">
        <f t="shared" si="0"/>
        <v>0</v>
      </c>
      <c r="H18" s="171">
        <f t="shared" si="0"/>
        <v>0</v>
      </c>
      <c r="I18" s="171">
        <f t="shared" si="0"/>
        <v>0</v>
      </c>
      <c r="J18" s="171">
        <f t="shared" si="0"/>
        <v>0</v>
      </c>
      <c r="K18" s="171">
        <f t="shared" si="0"/>
        <v>0</v>
      </c>
    </row>
    <row r="20" spans="1:16">
      <c r="A20" s="83" t="s">
        <v>173</v>
      </c>
      <c r="B20" s="83"/>
      <c r="C20" s="83"/>
      <c r="D20" s="83"/>
      <c r="E20" s="83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>
      <c r="B21" s="25"/>
    </row>
    <row r="22" spans="1:16" ht="45">
      <c r="B22" s="177" t="s">
        <v>243</v>
      </c>
      <c r="C22" s="177" t="s">
        <v>28</v>
      </c>
      <c r="D22" s="177" t="s">
        <v>252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23" t="s">
        <v>7</v>
      </c>
    </row>
    <row r="23" spans="1:16">
      <c r="B23" s="177"/>
      <c r="C23" s="177"/>
      <c r="D23" s="177" t="s">
        <v>156</v>
      </c>
      <c r="E23" s="177" t="s">
        <v>157</v>
      </c>
      <c r="F23" s="177" t="s">
        <v>158</v>
      </c>
      <c r="G23" s="177" t="s">
        <v>159</v>
      </c>
      <c r="H23" s="177" t="s">
        <v>160</v>
      </c>
      <c r="I23" s="177" t="s">
        <v>161</v>
      </c>
      <c r="J23" s="177" t="s">
        <v>162</v>
      </c>
      <c r="K23" s="177" t="s">
        <v>163</v>
      </c>
      <c r="L23" s="177" t="s">
        <v>164</v>
      </c>
      <c r="M23" s="177" t="s">
        <v>165</v>
      </c>
      <c r="N23" s="177" t="s">
        <v>166</v>
      </c>
      <c r="O23" s="177" t="s">
        <v>167</v>
      </c>
      <c r="P23" s="123"/>
    </row>
    <row r="24" spans="1:16" ht="30">
      <c r="B24" s="122" t="s">
        <v>247</v>
      </c>
      <c r="C24" s="121" t="s">
        <v>172</v>
      </c>
      <c r="D24" s="121"/>
      <c r="E24" s="121"/>
      <c r="F24" s="121"/>
      <c r="G24" s="121"/>
      <c r="H24" s="121">
        <v>5000</v>
      </c>
      <c r="I24" s="121">
        <v>15000</v>
      </c>
      <c r="J24" s="121"/>
      <c r="K24" s="121"/>
      <c r="L24" s="121"/>
      <c r="M24" s="121"/>
      <c r="N24" s="121"/>
      <c r="O24" s="121"/>
      <c r="P24" s="123">
        <f>SUM(D24:O24)</f>
        <v>20000</v>
      </c>
    </row>
    <row r="26" spans="1:16" ht="17.25" customHeight="1">
      <c r="A26" s="22"/>
      <c r="B26" s="83" t="s">
        <v>246</v>
      </c>
      <c r="C26" s="22"/>
      <c r="D26" s="22"/>
      <c r="E26" s="22"/>
      <c r="F26" s="22"/>
      <c r="G26" s="22"/>
    </row>
    <row r="27" spans="1:16" ht="17.25" customHeight="1"/>
    <row r="28" spans="1:16" ht="42.75" customHeight="1">
      <c r="A28" s="177" t="s">
        <v>91</v>
      </c>
      <c r="B28" s="52" t="s">
        <v>23</v>
      </c>
      <c r="C28" s="52" t="s">
        <v>36</v>
      </c>
      <c r="D28" s="52" t="s">
        <v>4</v>
      </c>
      <c r="E28" s="52" t="s">
        <v>251</v>
      </c>
      <c r="F28" s="52" t="s">
        <v>176</v>
      </c>
      <c r="G28" s="52" t="s">
        <v>143</v>
      </c>
    </row>
    <row r="29" spans="1:16" ht="17.25" customHeight="1">
      <c r="A29" s="94">
        <v>1</v>
      </c>
      <c r="B29" s="53" t="s">
        <v>115</v>
      </c>
      <c r="C29" s="62" t="s">
        <v>10</v>
      </c>
      <c r="D29" s="195">
        <f>24*30*2</f>
        <v>1440</v>
      </c>
      <c r="E29" s="62">
        <v>3</v>
      </c>
      <c r="F29" s="62">
        <f>0.76</f>
        <v>0.76</v>
      </c>
      <c r="G29" s="111">
        <f>D29*E29*F29</f>
        <v>3283.2</v>
      </c>
    </row>
    <row r="30" spans="1:16" ht="17.25" customHeight="1">
      <c r="A30" s="94">
        <v>2</v>
      </c>
      <c r="B30" s="53" t="s">
        <v>253</v>
      </c>
      <c r="C30" s="196"/>
      <c r="D30" s="196"/>
      <c r="E30" s="196"/>
      <c r="F30" s="196"/>
      <c r="G30" s="147">
        <f>E6*'Вхідні - Адмін_витрати'!C11/12*2</f>
        <v>516.33333333333337</v>
      </c>
    </row>
    <row r="31" spans="1:16" ht="45.75" customHeight="1">
      <c r="A31" s="94">
        <v>3</v>
      </c>
      <c r="B31" s="172" t="s">
        <v>185</v>
      </c>
      <c r="C31" s="7" t="s">
        <v>259</v>
      </c>
      <c r="D31" s="197">
        <f>200*4*12</f>
        <v>9600</v>
      </c>
      <c r="E31" s="7">
        <v>0</v>
      </c>
      <c r="F31" s="7">
        <v>4</v>
      </c>
      <c r="G31" s="111">
        <f>D31*E31*F31</f>
        <v>0</v>
      </c>
    </row>
    <row r="32" spans="1:16" ht="17.25" customHeight="1">
      <c r="A32" s="110"/>
      <c r="B32" s="110" t="s">
        <v>7</v>
      </c>
      <c r="C32" s="171"/>
      <c r="D32" s="171"/>
      <c r="E32" s="170"/>
      <c r="F32" s="171"/>
      <c r="G32" s="193">
        <f>SUM(G29:G31)</f>
        <v>3799.5333333333333</v>
      </c>
    </row>
    <row r="33" spans="1:18">
      <c r="B33" s="64"/>
      <c r="C33" s="12"/>
      <c r="D33" s="9"/>
      <c r="E33" s="9"/>
      <c r="F33" s="8"/>
      <c r="G33" s="8"/>
      <c r="H33" s="10"/>
      <c r="I33" s="8"/>
    </row>
    <row r="34" spans="1:18" ht="30">
      <c r="A34" s="177" t="s">
        <v>91</v>
      </c>
      <c r="B34" s="52" t="s">
        <v>23</v>
      </c>
      <c r="C34" s="52" t="s">
        <v>289</v>
      </c>
      <c r="D34" s="9"/>
    </row>
    <row r="35" spans="1:18" ht="31.5" customHeight="1">
      <c r="A35" s="94">
        <v>1</v>
      </c>
      <c r="B35" s="53" t="s">
        <v>262</v>
      </c>
      <c r="C35" s="111">
        <f>опер*'Вхідні - Адмін_витрати'!D76</f>
        <v>1123.0043337397758</v>
      </c>
      <c r="D35" s="9"/>
    </row>
    <row r="36" spans="1:18" ht="31.5" customHeight="1">
      <c r="A36" s="94">
        <v>2</v>
      </c>
      <c r="B36" s="53" t="s">
        <v>215</v>
      </c>
      <c r="C36" s="111">
        <f>K18</f>
        <v>0</v>
      </c>
      <c r="D36" s="9"/>
    </row>
    <row r="37" spans="1:18" ht="15" customHeight="1">
      <c r="A37" s="94">
        <v>3</v>
      </c>
      <c r="B37" s="53" t="s">
        <v>201</v>
      </c>
      <c r="C37" s="111">
        <f>F6/12*2</f>
        <v>3098</v>
      </c>
      <c r="D37" s="9"/>
    </row>
    <row r="38" spans="1:18" ht="15" customHeight="1">
      <c r="A38" s="94">
        <v>4</v>
      </c>
      <c r="B38" s="53" t="s">
        <v>307</v>
      </c>
      <c r="C38" s="111"/>
      <c r="D38" s="9"/>
    </row>
    <row r="39" spans="1:18" ht="15.75" customHeight="1">
      <c r="A39" s="94">
        <v>5</v>
      </c>
      <c r="B39" s="53" t="s">
        <v>249</v>
      </c>
      <c r="C39" s="111"/>
    </row>
    <row r="40" spans="1:18" ht="15.75" customHeight="1">
      <c r="A40" s="94">
        <v>6</v>
      </c>
      <c r="B40" s="53" t="s">
        <v>310</v>
      </c>
      <c r="C40" s="111">
        <f>G32</f>
        <v>3799.5333333333333</v>
      </c>
    </row>
    <row r="41" spans="1:18" ht="18.75" customHeight="1">
      <c r="A41" s="94">
        <v>7</v>
      </c>
      <c r="B41" s="53" t="s">
        <v>312</v>
      </c>
      <c r="C41" s="111"/>
    </row>
    <row r="42" spans="1:18">
      <c r="A42" s="51"/>
      <c r="B42" s="51" t="s">
        <v>7</v>
      </c>
      <c r="C42" s="193">
        <f>SUM(C35:C41)</f>
        <v>8020.5376670731093</v>
      </c>
      <c r="D42" s="155">
        <f>SUM(C39:C41)</f>
        <v>3799.5333333333333</v>
      </c>
      <c r="E42" s="192"/>
    </row>
    <row r="43" spans="1:18">
      <c r="A43" s="204"/>
      <c r="B43" s="221" t="s">
        <v>269</v>
      </c>
      <c r="C43" s="205">
        <f>C42*сф</f>
        <v>80.205376670731098</v>
      </c>
      <c r="D43" s="155"/>
      <c r="E43" s="192"/>
    </row>
    <row r="44" spans="1:18">
      <c r="A44" s="204"/>
      <c r="B44" s="221"/>
      <c r="C44" s="205">
        <f>C42+C43</f>
        <v>8100.7430437438406</v>
      </c>
      <c r="D44" s="155"/>
      <c r="E44" s="192"/>
    </row>
    <row r="45" spans="1:18">
      <c r="B45" s="156" t="s">
        <v>282</v>
      </c>
      <c r="C45" s="156">
        <f>C44/P24</f>
        <v>0.40503715218719205</v>
      </c>
    </row>
    <row r="46" spans="1:18">
      <c r="B46" s="141"/>
      <c r="C46" s="191"/>
      <c r="D46" s="141"/>
      <c r="E46" s="7"/>
      <c r="F46" s="7"/>
      <c r="G46" s="7"/>
      <c r="H46" s="142"/>
      <c r="I46" s="143"/>
    </row>
    <row r="47" spans="1:18">
      <c r="A47" s="22"/>
      <c r="B47" s="83" t="s">
        <v>274</v>
      </c>
      <c r="C47" s="22"/>
      <c r="D47" s="83"/>
      <c r="E47" s="22"/>
      <c r="R47" s="90"/>
    </row>
    <row r="48" spans="1:18">
      <c r="B48" t="s">
        <v>347</v>
      </c>
      <c r="C48" s="225">
        <f>'Реаліз прод членів'!G13</f>
        <v>240000</v>
      </c>
      <c r="R48" s="90"/>
    </row>
    <row r="49" spans="2:17">
      <c r="B49" t="s">
        <v>275</v>
      </c>
      <c r="C49" s="225">
        <f>C42+C43</f>
        <v>8100.7430437438406</v>
      </c>
      <c r="Q49" s="90"/>
    </row>
    <row r="50" spans="2:17">
      <c r="B50" s="1" t="s">
        <v>276</v>
      </c>
      <c r="C50" s="229">
        <f>C48-C49</f>
        <v>231899.25695625617</v>
      </c>
      <c r="Q50" s="90"/>
    </row>
    <row r="51" spans="2:17">
      <c r="B51" t="s">
        <v>283</v>
      </c>
      <c r="C51" s="225">
        <f>P24</f>
        <v>20000</v>
      </c>
      <c r="Q51" s="90"/>
    </row>
    <row r="52" spans="2:17">
      <c r="B52" t="s">
        <v>284</v>
      </c>
      <c r="C52" s="227">
        <f>C50/C51</f>
        <v>11.594962847812809</v>
      </c>
    </row>
    <row r="53" spans="2:17" ht="30">
      <c r="B53" s="92" t="s">
        <v>285</v>
      </c>
      <c r="C53" s="231">
        <v>8</v>
      </c>
    </row>
    <row r="54" spans="2:17">
      <c r="B54" s="1" t="s">
        <v>279</v>
      </c>
      <c r="C54" s="228">
        <f>C52-C53</f>
        <v>3.5949628478128091</v>
      </c>
    </row>
    <row r="55" spans="2:17">
      <c r="C55" s="149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&amp;A&amp;RPage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opLeftCell="A53" workbookViewId="0">
      <selection activeCell="D53" sqref="D53"/>
    </sheetView>
  </sheetViews>
  <sheetFormatPr defaultRowHeight="15"/>
  <cols>
    <col min="1" max="1" width="4.28515625" customWidth="1"/>
    <col min="2" max="2" width="30.140625" customWidth="1"/>
    <col min="3" max="4" width="11.5703125" customWidth="1"/>
    <col min="5" max="5" width="10.85546875" customWidth="1"/>
    <col min="6" max="7" width="9.28515625" bestFit="1" customWidth="1"/>
    <col min="8" max="8" width="11.140625" bestFit="1" customWidth="1"/>
    <col min="18" max="18" width="10.5703125" customWidth="1"/>
  </cols>
  <sheetData>
    <row r="1" spans="1:16">
      <c r="A1" s="83" t="s">
        <v>214</v>
      </c>
      <c r="B1" s="22"/>
      <c r="C1" s="88"/>
      <c r="D1" s="88"/>
      <c r="E1" s="89"/>
      <c r="F1" s="182"/>
      <c r="G1" s="182"/>
      <c r="H1" s="182"/>
    </row>
    <row r="2" spans="1:16">
      <c r="D2" s="90"/>
      <c r="E2" s="90"/>
      <c r="F2" s="268" t="s">
        <v>59</v>
      </c>
      <c r="G2" s="269"/>
      <c r="H2" s="270"/>
    </row>
    <row r="3" spans="1:16" ht="30">
      <c r="A3" s="177" t="s">
        <v>91</v>
      </c>
      <c r="B3" s="177" t="s">
        <v>3</v>
      </c>
      <c r="C3" s="177" t="s">
        <v>4</v>
      </c>
      <c r="D3" s="177" t="s">
        <v>18</v>
      </c>
      <c r="E3" s="177" t="s">
        <v>5</v>
      </c>
      <c r="F3" s="183" t="s">
        <v>51</v>
      </c>
      <c r="G3" s="177" t="s">
        <v>37</v>
      </c>
      <c r="H3" s="178" t="s">
        <v>38</v>
      </c>
    </row>
    <row r="4" spans="1:16" ht="30">
      <c r="A4" s="112">
        <v>1</v>
      </c>
      <c r="B4" s="112" t="s">
        <v>93</v>
      </c>
      <c r="C4" s="238" t="s">
        <v>306</v>
      </c>
      <c r="D4" s="112"/>
      <c r="E4" s="112"/>
      <c r="F4" s="112"/>
      <c r="G4" s="112"/>
      <c r="H4" s="112"/>
    </row>
    <row r="5" spans="1:16" ht="30">
      <c r="A5" s="31">
        <v>2</v>
      </c>
      <c r="B5" s="112" t="s">
        <v>180</v>
      </c>
      <c r="C5" s="113">
        <v>1</v>
      </c>
      <c r="D5" s="67">
        <v>1500</v>
      </c>
      <c r="E5" s="68">
        <f>D5*C5</f>
        <v>1500</v>
      </c>
      <c r="F5" s="68">
        <f>E5*ам_тех</f>
        <v>180</v>
      </c>
      <c r="G5" s="68">
        <f>(E5-F5)*ам_тех</f>
        <v>158.4</v>
      </c>
      <c r="H5" s="68">
        <f>(E5-G5)*ам_тех</f>
        <v>160.99199999999999</v>
      </c>
    </row>
    <row r="6" spans="1:16">
      <c r="A6" s="110"/>
      <c r="B6" s="110" t="s">
        <v>7</v>
      </c>
      <c r="C6" s="170"/>
      <c r="D6" s="170"/>
      <c r="E6" s="171">
        <f>SUM(E5:E5)</f>
        <v>1500</v>
      </c>
      <c r="F6" s="186">
        <f>SUM(F5:F5)</f>
        <v>180</v>
      </c>
      <c r="G6" s="187">
        <f>SUM(G5:G5)</f>
        <v>158.4</v>
      </c>
      <c r="H6" s="188">
        <f>SUM(H5:H5)</f>
        <v>160.99199999999999</v>
      </c>
    </row>
    <row r="8" spans="1:16">
      <c r="A8" s="22"/>
      <c r="B8" s="22" t="s">
        <v>53</v>
      </c>
      <c r="C8" s="22"/>
      <c r="D8" s="22"/>
      <c r="E8" s="22"/>
      <c r="F8" s="22"/>
      <c r="G8" s="22"/>
      <c r="H8" s="22"/>
      <c r="I8" s="22"/>
      <c r="J8" s="22"/>
      <c r="K8" s="22"/>
    </row>
    <row r="10" spans="1:16" ht="30">
      <c r="A10" s="177" t="s">
        <v>91</v>
      </c>
      <c r="B10" s="52" t="s">
        <v>27</v>
      </c>
      <c r="C10" s="52" t="s">
        <v>229</v>
      </c>
      <c r="D10" s="52" t="s">
        <v>230</v>
      </c>
      <c r="E10" s="52" t="s">
        <v>231</v>
      </c>
      <c r="F10" s="52" t="s">
        <v>232</v>
      </c>
      <c r="G10" s="52" t="s">
        <v>233</v>
      </c>
      <c r="H10" s="52" t="s">
        <v>234</v>
      </c>
      <c r="I10" s="52" t="s">
        <v>235</v>
      </c>
      <c r="J10" s="52" t="s">
        <v>233</v>
      </c>
      <c r="K10" s="52" t="s">
        <v>236</v>
      </c>
    </row>
    <row r="11" spans="1:16">
      <c r="A11" s="94">
        <v>1</v>
      </c>
      <c r="B11" s="63"/>
      <c r="C11" s="49"/>
      <c r="D11" s="49">
        <v>0</v>
      </c>
      <c r="E11" s="59">
        <v>1</v>
      </c>
      <c r="F11" s="158">
        <f>E11*D11*C11</f>
        <v>0</v>
      </c>
      <c r="G11" s="158">
        <f>F11*Нарахування_на_ФЗП</f>
        <v>0</v>
      </c>
      <c r="H11" s="158">
        <f>G11+F11</f>
        <v>0</v>
      </c>
      <c r="I11" s="158">
        <f>F11*12</f>
        <v>0</v>
      </c>
      <c r="J11" s="158">
        <f>I11*Нарахування_на_ФЗП</f>
        <v>0</v>
      </c>
      <c r="K11" s="158">
        <f>J11+I11</f>
        <v>0</v>
      </c>
    </row>
    <row r="12" spans="1:16">
      <c r="A12" s="94">
        <v>2</v>
      </c>
      <c r="B12" s="63" t="s">
        <v>2</v>
      </c>
      <c r="C12" s="49">
        <v>0</v>
      </c>
      <c r="D12" s="49">
        <v>0</v>
      </c>
      <c r="E12" s="59">
        <v>1</v>
      </c>
      <c r="F12" s="158">
        <f>E12*D12*C12</f>
        <v>0</v>
      </c>
      <c r="G12" s="158">
        <f>F12*Нарахування_на_ФЗП</f>
        <v>0</v>
      </c>
      <c r="H12" s="158">
        <f>G12+F12</f>
        <v>0</v>
      </c>
      <c r="I12" s="158">
        <f>F12*12</f>
        <v>0</v>
      </c>
      <c r="J12" s="158">
        <f>I12*Нарахування_на_ФЗП</f>
        <v>0</v>
      </c>
      <c r="K12" s="158">
        <f>J12+I12</f>
        <v>0</v>
      </c>
    </row>
    <row r="13" spans="1:16">
      <c r="A13" s="110"/>
      <c r="B13" s="110" t="s">
        <v>7</v>
      </c>
      <c r="C13" s="171">
        <f>SUM(C11:C12)</f>
        <v>0</v>
      </c>
      <c r="D13" s="171">
        <f>SUM(D11:D12)</f>
        <v>0</v>
      </c>
      <c r="E13" s="170"/>
      <c r="F13" s="171">
        <f t="shared" ref="F13:K13" si="0">SUM(F11:F12)</f>
        <v>0</v>
      </c>
      <c r="G13" s="171">
        <f t="shared" si="0"/>
        <v>0</v>
      </c>
      <c r="H13" s="171">
        <f t="shared" si="0"/>
        <v>0</v>
      </c>
      <c r="I13" s="171">
        <f t="shared" si="0"/>
        <v>0</v>
      </c>
      <c r="J13" s="171">
        <f t="shared" si="0"/>
        <v>0</v>
      </c>
      <c r="K13" s="171">
        <f t="shared" si="0"/>
        <v>0</v>
      </c>
    </row>
    <row r="15" spans="1:16">
      <c r="B15" s="83" t="s">
        <v>173</v>
      </c>
      <c r="C15" s="83"/>
      <c r="D15" s="83"/>
      <c r="E15" s="83"/>
      <c r="F15" s="83"/>
      <c r="G15" s="83"/>
      <c r="H15" s="84"/>
      <c r="I15" s="84"/>
      <c r="J15" s="84"/>
      <c r="K15" s="84"/>
      <c r="L15" s="84"/>
      <c r="M15" s="84"/>
      <c r="N15" s="84"/>
      <c r="O15" s="84"/>
      <c r="P15" s="84"/>
    </row>
    <row r="16" spans="1:16">
      <c r="B16" s="25"/>
    </row>
    <row r="17" spans="1:16" ht="45">
      <c r="B17" s="177" t="s">
        <v>243</v>
      </c>
      <c r="C17" s="177" t="s">
        <v>28</v>
      </c>
      <c r="D17" s="177" t="s">
        <v>252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23" t="s">
        <v>7</v>
      </c>
    </row>
    <row r="18" spans="1:16">
      <c r="B18" s="177"/>
      <c r="C18" s="177"/>
      <c r="D18" s="177" t="s">
        <v>156</v>
      </c>
      <c r="E18" s="177" t="s">
        <v>157</v>
      </c>
      <c r="F18" s="177" t="s">
        <v>158</v>
      </c>
      <c r="G18" s="177" t="s">
        <v>159</v>
      </c>
      <c r="H18" s="177" t="s">
        <v>160</v>
      </c>
      <c r="I18" s="177" t="s">
        <v>161</v>
      </c>
      <c r="J18" s="177" t="s">
        <v>162</v>
      </c>
      <c r="K18" s="177" t="s">
        <v>163</v>
      </c>
      <c r="L18" s="177" t="s">
        <v>164</v>
      </c>
      <c r="M18" s="177" t="s">
        <v>165</v>
      </c>
      <c r="N18" s="177" t="s">
        <v>166</v>
      </c>
      <c r="O18" s="177" t="s">
        <v>167</v>
      </c>
      <c r="P18" s="123"/>
    </row>
    <row r="19" spans="1:16" ht="30">
      <c r="B19" s="220" t="s">
        <v>248</v>
      </c>
      <c r="C19" s="215" t="s">
        <v>113</v>
      </c>
      <c r="D19" s="215">
        <v>20000</v>
      </c>
      <c r="E19" s="215">
        <v>20000</v>
      </c>
      <c r="F19" s="215">
        <v>20000</v>
      </c>
      <c r="G19" s="215">
        <v>20000</v>
      </c>
      <c r="H19" s="215" t="s">
        <v>186</v>
      </c>
      <c r="I19" s="215" t="s">
        <v>186</v>
      </c>
      <c r="J19" s="215">
        <v>20000</v>
      </c>
      <c r="K19" s="215">
        <v>20000</v>
      </c>
      <c r="L19" s="215">
        <v>20000</v>
      </c>
      <c r="M19" s="215">
        <v>20000</v>
      </c>
      <c r="N19" s="215">
        <v>20000</v>
      </c>
      <c r="O19" s="215">
        <v>20000</v>
      </c>
      <c r="P19" s="123">
        <f>SUM(D19:O19)</f>
        <v>200000</v>
      </c>
    </row>
    <row r="20" spans="1:16">
      <c r="B20" s="216" t="s">
        <v>182</v>
      </c>
      <c r="C20" s="216" t="s">
        <v>9</v>
      </c>
      <c r="D20" s="217">
        <v>18000</v>
      </c>
      <c r="E20" s="217">
        <v>18000</v>
      </c>
      <c r="F20" s="217">
        <v>20000</v>
      </c>
      <c r="G20" s="217">
        <v>23000</v>
      </c>
      <c r="H20" s="217">
        <v>23000</v>
      </c>
      <c r="I20" s="217">
        <v>24000</v>
      </c>
      <c r="J20" s="217">
        <v>24000</v>
      </c>
      <c r="K20" s="217">
        <v>24000</v>
      </c>
      <c r="L20" s="217">
        <v>24000</v>
      </c>
      <c r="M20" s="217">
        <v>24000</v>
      </c>
      <c r="N20" s="217">
        <v>22000</v>
      </c>
      <c r="O20" s="218">
        <v>16000</v>
      </c>
      <c r="P20" s="219">
        <f>SUM(D20:O20)</f>
        <v>260000</v>
      </c>
    </row>
    <row r="21" spans="1:16">
      <c r="B21" s="173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</row>
    <row r="23" spans="1:16" ht="17.25" customHeight="1">
      <c r="A23" s="22"/>
      <c r="B23" s="83" t="s">
        <v>246</v>
      </c>
      <c r="C23" s="22"/>
      <c r="D23" s="22"/>
      <c r="E23" s="22"/>
      <c r="F23" s="22"/>
      <c r="G23" s="22"/>
    </row>
    <row r="24" spans="1:16" ht="17.25" customHeight="1"/>
    <row r="25" spans="1:16" ht="42.75" customHeight="1">
      <c r="A25" s="177" t="s">
        <v>91</v>
      </c>
      <c r="B25" s="52" t="s">
        <v>23</v>
      </c>
      <c r="C25" s="52" t="s">
        <v>36</v>
      </c>
      <c r="D25" s="52" t="s">
        <v>250</v>
      </c>
      <c r="E25" s="52" t="s">
        <v>251</v>
      </c>
      <c r="F25" s="52" t="s">
        <v>176</v>
      </c>
      <c r="G25" s="52" t="s">
        <v>143</v>
      </c>
    </row>
    <row r="26" spans="1:16" ht="30.75" customHeight="1">
      <c r="A26" s="94">
        <v>1</v>
      </c>
      <c r="B26" s="53" t="s">
        <v>271</v>
      </c>
      <c r="C26" s="62" t="s">
        <v>10</v>
      </c>
      <c r="D26" s="195">
        <f>24*30*10</f>
        <v>7200</v>
      </c>
      <c r="E26" s="62">
        <v>3</v>
      </c>
      <c r="F26" s="62">
        <f>0.76</f>
        <v>0.76</v>
      </c>
      <c r="G26" s="111">
        <f>D26*E26*F26</f>
        <v>16416</v>
      </c>
      <c r="H26" s="136"/>
    </row>
    <row r="27" spans="1:16" ht="18.75" customHeight="1">
      <c r="A27" s="94">
        <v>2</v>
      </c>
      <c r="B27" s="53" t="s">
        <v>272</v>
      </c>
      <c r="C27" s="62" t="s">
        <v>10</v>
      </c>
      <c r="D27" s="195">
        <f>6*24*12</f>
        <v>1728</v>
      </c>
      <c r="E27" s="62">
        <v>3.5</v>
      </c>
      <c r="F27" s="62">
        <f>0.76</f>
        <v>0.76</v>
      </c>
      <c r="G27" s="111">
        <f>D27*E27*F27</f>
        <v>4596.4800000000005</v>
      </c>
    </row>
    <row r="28" spans="1:16" ht="17.25" customHeight="1">
      <c r="A28" s="94">
        <v>3</v>
      </c>
      <c r="B28" s="53" t="s">
        <v>183</v>
      </c>
      <c r="C28" s="62" t="s">
        <v>190</v>
      </c>
      <c r="D28" s="62">
        <v>11.2</v>
      </c>
      <c r="E28" s="62"/>
      <c r="F28" s="127">
        <v>78</v>
      </c>
      <c r="G28" s="50">
        <f>F28*D28</f>
        <v>873.59999999999991</v>
      </c>
    </row>
    <row r="29" spans="1:16" ht="33" customHeight="1">
      <c r="A29" s="94">
        <v>4</v>
      </c>
      <c r="B29" s="53" t="s">
        <v>204</v>
      </c>
      <c r="C29" s="62" t="s">
        <v>184</v>
      </c>
      <c r="D29" s="62">
        <v>2</v>
      </c>
      <c r="E29" s="62">
        <v>0.6</v>
      </c>
      <c r="F29" s="127">
        <f>('Реаліз прод членів'!E4+'Реаліз прод членів'!E5+'Реаліз прод членів'!E3+'Реаліз прод членів'!E6+'Реаліз прод членів'!E7)*D29</f>
        <v>129454.54545454546</v>
      </c>
      <c r="G29" s="50">
        <f>F29*E29</f>
        <v>77672.727272727265</v>
      </c>
    </row>
    <row r="30" spans="1:16" ht="17.25" customHeight="1">
      <c r="A30" s="94">
        <v>5</v>
      </c>
      <c r="B30" s="53" t="s">
        <v>185</v>
      </c>
      <c r="C30" s="62" t="s">
        <v>54</v>
      </c>
      <c r="D30" s="62">
        <f>200*8*12</f>
        <v>19200</v>
      </c>
      <c r="E30" s="62"/>
      <c r="F30" s="62">
        <v>4</v>
      </c>
      <c r="G30" s="50">
        <f>F30*D30</f>
        <v>76800</v>
      </c>
    </row>
    <row r="31" spans="1:16" ht="17.25" customHeight="1">
      <c r="A31" s="94">
        <v>6</v>
      </c>
      <c r="B31" s="53" t="s">
        <v>244</v>
      </c>
      <c r="C31" s="196"/>
      <c r="D31" s="196"/>
      <c r="E31" s="196"/>
      <c r="F31" s="196"/>
      <c r="G31" s="147">
        <f>Черешня!E5*'Вхідні - Адмін_витрати'!C11/12*10</f>
        <v>2581.666666666667</v>
      </c>
    </row>
    <row r="32" spans="1:16" ht="17.25" customHeight="1">
      <c r="A32" s="94">
        <v>7</v>
      </c>
      <c r="B32" s="172" t="s">
        <v>2</v>
      </c>
      <c r="C32" s="7"/>
      <c r="D32" s="197"/>
      <c r="E32" s="7"/>
      <c r="F32" s="7"/>
      <c r="G32" s="111">
        <f>D32*E32*F32</f>
        <v>0</v>
      </c>
    </row>
    <row r="33" spans="1:9" ht="17.25" customHeight="1">
      <c r="A33" s="110"/>
      <c r="B33" s="110" t="s">
        <v>7</v>
      </c>
      <c r="C33" s="171">
        <f>SUM(C26:C31)</f>
        <v>0</v>
      </c>
      <c r="D33" s="171"/>
      <c r="E33" s="170"/>
      <c r="F33" s="171"/>
      <c r="G33" s="171">
        <f>SUM(G26:G32)</f>
        <v>178940.47393939391</v>
      </c>
    </row>
    <row r="34" spans="1:9">
      <c r="B34" s="64"/>
      <c r="C34" s="12"/>
      <c r="D34" s="9"/>
      <c r="E34" s="9"/>
      <c r="F34" s="8"/>
      <c r="G34" s="8"/>
      <c r="H34" s="10"/>
      <c r="I34" s="8"/>
    </row>
    <row r="35" spans="1:9" ht="30">
      <c r="A35" s="177" t="s">
        <v>91</v>
      </c>
      <c r="B35" s="52" t="s">
        <v>23</v>
      </c>
      <c r="C35" s="52" t="s">
        <v>289</v>
      </c>
      <c r="D35" s="9"/>
    </row>
    <row r="36" spans="1:9" ht="28.5" customHeight="1">
      <c r="A36" s="94">
        <v>1</v>
      </c>
      <c r="B36" s="53" t="s">
        <v>262</v>
      </c>
      <c r="C36" s="111">
        <f>опер*'Вхідні - Адмін_витрати'!D77</f>
        <v>62851.234883151075</v>
      </c>
      <c r="D36" s="9"/>
    </row>
    <row r="37" spans="1:9" ht="27.75" customHeight="1">
      <c r="A37" s="94">
        <v>2</v>
      </c>
      <c r="B37" s="53" t="s">
        <v>215</v>
      </c>
      <c r="C37" s="111">
        <f>K13</f>
        <v>0</v>
      </c>
      <c r="D37" s="9"/>
    </row>
    <row r="38" spans="1:9" ht="13.5" customHeight="1">
      <c r="A38" s="94">
        <v>3</v>
      </c>
      <c r="B38" s="53" t="s">
        <v>201</v>
      </c>
      <c r="C38" s="111">
        <f>(F6+Черешня!F6)/12*10</f>
        <v>15640</v>
      </c>
      <c r="D38" s="9"/>
    </row>
    <row r="39" spans="1:9" ht="13.5" customHeight="1">
      <c r="A39" s="94">
        <v>4</v>
      </c>
      <c r="B39" s="53" t="s">
        <v>305</v>
      </c>
      <c r="C39" s="111"/>
      <c r="D39" s="9"/>
    </row>
    <row r="40" spans="1:9" ht="18" customHeight="1">
      <c r="A40" s="94">
        <v>5</v>
      </c>
      <c r="B40" s="53" t="s">
        <v>249</v>
      </c>
      <c r="C40" s="111">
        <f>'Реаліз прод членів'!G9*1%</f>
        <v>18068.18181818182</v>
      </c>
    </row>
    <row r="41" spans="1:9" ht="15.75" customHeight="1">
      <c r="A41" s="94">
        <v>6</v>
      </c>
      <c r="B41" s="53" t="s">
        <v>245</v>
      </c>
      <c r="C41" s="111">
        <f>G33</f>
        <v>178940.47393939391</v>
      </c>
    </row>
    <row r="42" spans="1:9" ht="15.75" customHeight="1">
      <c r="A42" s="94">
        <v>7</v>
      </c>
      <c r="B42" s="53" t="s">
        <v>348</v>
      </c>
      <c r="C42" s="111"/>
    </row>
    <row r="43" spans="1:9">
      <c r="A43" s="51"/>
      <c r="B43" s="51" t="s">
        <v>7</v>
      </c>
      <c r="C43" s="193">
        <f>SUM(C36:C42)</f>
        <v>275499.89064072678</v>
      </c>
      <c r="D43" s="155">
        <f>SUM(C37:C41)</f>
        <v>212648.65575757573</v>
      </c>
      <c r="E43" s="192"/>
    </row>
    <row r="44" spans="1:9">
      <c r="A44" s="204"/>
      <c r="B44" s="221" t="s">
        <v>269</v>
      </c>
      <c r="C44" s="205">
        <f>C43*сф</f>
        <v>2754.9989064072679</v>
      </c>
      <c r="D44" s="155"/>
      <c r="E44" s="192"/>
    </row>
    <row r="45" spans="1:9">
      <c r="A45" s="204"/>
      <c r="B45" s="221" t="s">
        <v>7</v>
      </c>
      <c r="C45" s="205">
        <f>C44+C43</f>
        <v>278254.88954713405</v>
      </c>
      <c r="D45" s="155"/>
      <c r="E45" s="192"/>
    </row>
    <row r="46" spans="1:9" ht="30">
      <c r="B46" s="230" t="s">
        <v>270</v>
      </c>
      <c r="C46" s="156">
        <f>C45/P20</f>
        <v>1.0702111136428232</v>
      </c>
    </row>
    <row r="47" spans="1:9" hidden="1">
      <c r="B47" s="141" t="s">
        <v>280</v>
      </c>
      <c r="C47" s="229">
        <f>C43+C44</f>
        <v>278254.88954713405</v>
      </c>
      <c r="D47" s="141"/>
      <c r="E47" s="7"/>
      <c r="F47" s="7"/>
      <c r="G47" s="7"/>
      <c r="H47" s="142"/>
      <c r="I47" s="143"/>
    </row>
    <row r="48" spans="1:9">
      <c r="B48" s="141"/>
      <c r="C48" s="191"/>
      <c r="D48" s="141"/>
      <c r="E48" s="7"/>
      <c r="F48" s="7"/>
      <c r="G48" s="7"/>
      <c r="H48" s="142"/>
      <c r="I48" s="143"/>
    </row>
    <row r="49" spans="1:17">
      <c r="A49" s="22"/>
      <c r="B49" s="83" t="s">
        <v>274</v>
      </c>
      <c r="C49" s="22"/>
      <c r="Q49" s="90"/>
    </row>
    <row r="50" spans="1:17">
      <c r="B50" t="s">
        <v>347</v>
      </c>
      <c r="C50" s="225">
        <f>'Реаліз прод членів'!I9</f>
        <v>1445454.5454545454</v>
      </c>
      <c r="Q50" s="149"/>
    </row>
    <row r="51" spans="1:17">
      <c r="B51" t="s">
        <v>275</v>
      </c>
      <c r="C51" s="225">
        <f>C47</f>
        <v>278254.88954713405</v>
      </c>
    </row>
    <row r="52" spans="1:17">
      <c r="B52" s="1" t="s">
        <v>276</v>
      </c>
      <c r="C52" s="229">
        <f>C50-C51</f>
        <v>1167199.6559074114</v>
      </c>
    </row>
    <row r="53" spans="1:17">
      <c r="B53" t="s">
        <v>277</v>
      </c>
      <c r="C53" s="225">
        <f>P20</f>
        <v>260000</v>
      </c>
    </row>
    <row r="54" spans="1:17">
      <c r="B54" t="s">
        <v>278</v>
      </c>
      <c r="C54" s="227">
        <f>C52/C53</f>
        <v>4.4892294457977364</v>
      </c>
    </row>
    <row r="55" spans="1:17" ht="30">
      <c r="B55" s="92" t="s">
        <v>281</v>
      </c>
      <c r="C55" s="227">
        <v>1.7</v>
      </c>
    </row>
    <row r="56" spans="1:17">
      <c r="B56" s="1" t="s">
        <v>279</v>
      </c>
      <c r="C56" s="228">
        <f>C54-C55</f>
        <v>2.7892294457977362</v>
      </c>
    </row>
  </sheetData>
  <mergeCells count="1">
    <mergeCell ref="F2:H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&amp;A&amp;RPage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7" workbookViewId="0">
      <selection activeCell="E10" sqref="E10"/>
    </sheetView>
  </sheetViews>
  <sheetFormatPr defaultRowHeight="15"/>
  <cols>
    <col min="1" max="1" width="22" customWidth="1"/>
    <col min="2" max="2" width="14.42578125" customWidth="1"/>
    <col min="3" max="4" width="14.140625" customWidth="1"/>
    <col min="5" max="5" width="14.7109375" customWidth="1"/>
    <col min="6" max="6" width="11" customWidth="1"/>
    <col min="7" max="7" width="13.28515625" customWidth="1"/>
    <col min="9" max="9" width="12.42578125" customWidth="1"/>
  </cols>
  <sheetData>
    <row r="1" spans="1:9">
      <c r="D1" s="85"/>
      <c r="E1" s="85"/>
    </row>
    <row r="2" spans="1:9" ht="57" customHeight="1">
      <c r="A2" s="126" t="s">
        <v>151</v>
      </c>
      <c r="B2" s="154" t="s">
        <v>147</v>
      </c>
      <c r="C2" s="154" t="s">
        <v>150</v>
      </c>
      <c r="D2" s="154" t="s">
        <v>154</v>
      </c>
      <c r="E2" s="154" t="s">
        <v>149</v>
      </c>
      <c r="F2" s="154" t="s">
        <v>266</v>
      </c>
      <c r="G2" s="154" t="s">
        <v>188</v>
      </c>
      <c r="H2" s="138" t="s">
        <v>29</v>
      </c>
      <c r="I2" s="138" t="s">
        <v>363</v>
      </c>
    </row>
    <row r="3" spans="1:9">
      <c r="A3" s="128" t="s">
        <v>265</v>
      </c>
      <c r="B3" s="271">
        <v>260000</v>
      </c>
      <c r="C3" s="271"/>
      <c r="D3" s="271"/>
      <c r="E3" s="271"/>
      <c r="F3" s="271"/>
      <c r="G3" s="271"/>
      <c r="H3" s="271"/>
      <c r="I3" s="271"/>
    </row>
    <row r="4" spans="1:9">
      <c r="A4" t="s">
        <v>145</v>
      </c>
      <c r="B4" s="119" t="s">
        <v>148</v>
      </c>
      <c r="C4" s="214">
        <v>60000</v>
      </c>
      <c r="D4" s="119">
        <v>6</v>
      </c>
      <c r="E4" s="200">
        <f>C4/D4</f>
        <v>10000</v>
      </c>
      <c r="F4" s="120">
        <v>40</v>
      </c>
      <c r="G4" s="200">
        <f>F4*E4</f>
        <v>400000</v>
      </c>
      <c r="H4" s="212">
        <f>G4*пдв</f>
        <v>80000</v>
      </c>
      <c r="I4" s="200">
        <f>G4-H4</f>
        <v>320000</v>
      </c>
    </row>
    <row r="5" spans="1:9">
      <c r="A5" s="117" t="s">
        <v>178</v>
      </c>
      <c r="B5" s="119" t="s">
        <v>148</v>
      </c>
      <c r="C5" s="211">
        <f>B3-C4</f>
        <v>200000</v>
      </c>
      <c r="D5" s="118">
        <v>10</v>
      </c>
      <c r="E5" s="200">
        <f>C5/D5</f>
        <v>20000</v>
      </c>
      <c r="F5" s="120"/>
      <c r="G5" s="200"/>
      <c r="H5" s="201">
        <f>G5*пдв</f>
        <v>0</v>
      </c>
      <c r="I5" s="211">
        <f>G5-H5</f>
        <v>0</v>
      </c>
    </row>
    <row r="6" spans="1:9">
      <c r="A6" s="117" t="s">
        <v>146</v>
      </c>
      <c r="B6" s="118" t="s">
        <v>153</v>
      </c>
      <c r="C6" s="214">
        <v>7000</v>
      </c>
      <c r="D6" s="118">
        <v>3.5</v>
      </c>
      <c r="E6" s="200">
        <f>C6/D6</f>
        <v>2000</v>
      </c>
      <c r="F6" s="120">
        <v>50</v>
      </c>
      <c r="G6" s="200">
        <f>F6*E6</f>
        <v>100000</v>
      </c>
      <c r="H6" s="201">
        <f>G6*пдв</f>
        <v>20000</v>
      </c>
      <c r="I6" s="211">
        <f>G6-H6</f>
        <v>80000</v>
      </c>
    </row>
    <row r="7" spans="1:9" ht="30">
      <c r="A7" s="92" t="s">
        <v>144</v>
      </c>
      <c r="B7" s="117" t="s">
        <v>152</v>
      </c>
      <c r="C7" s="211">
        <f>C5-E5</f>
        <v>180000</v>
      </c>
      <c r="D7" s="118">
        <v>5.5</v>
      </c>
      <c r="E7" s="200">
        <f>C7/D7</f>
        <v>32727.272727272728</v>
      </c>
      <c r="F7" s="120">
        <v>30</v>
      </c>
      <c r="G7" s="200">
        <f>F7*E7</f>
        <v>981818.18181818188</v>
      </c>
      <c r="H7" s="201">
        <f>G7*пдв</f>
        <v>196363.63636363638</v>
      </c>
      <c r="I7" s="211">
        <f t="shared" ref="I7:I8" si="0">G7-H7</f>
        <v>785454.54545454553</v>
      </c>
    </row>
    <row r="8" spans="1:9">
      <c r="A8" s="124" t="s">
        <v>177</v>
      </c>
      <c r="B8" s="118"/>
      <c r="C8" s="118"/>
      <c r="D8" s="118"/>
      <c r="E8" s="201">
        <f>E5-C6</f>
        <v>13000</v>
      </c>
      <c r="F8" s="118">
        <v>25</v>
      </c>
      <c r="G8" s="200">
        <f>F8*E8</f>
        <v>325000</v>
      </c>
      <c r="H8" s="201">
        <f>G8*пдв</f>
        <v>65000</v>
      </c>
      <c r="I8" s="211">
        <f t="shared" si="0"/>
        <v>260000</v>
      </c>
    </row>
    <row r="9" spans="1:9">
      <c r="A9" s="129" t="s">
        <v>7</v>
      </c>
      <c r="B9" s="117"/>
      <c r="C9" s="117"/>
      <c r="D9" s="117"/>
      <c r="E9" s="198">
        <f>SUM(E4:E8)</f>
        <v>77727.272727272735</v>
      </c>
      <c r="F9" s="199"/>
      <c r="G9" s="198">
        <f>SUM(G4:G8)</f>
        <v>1806818.1818181819</v>
      </c>
      <c r="H9" s="198">
        <f t="shared" ref="H9:I9" si="1">SUM(H4:H8)</f>
        <v>361363.63636363635</v>
      </c>
      <c r="I9" s="198">
        <f t="shared" si="1"/>
        <v>1445454.5454545454</v>
      </c>
    </row>
    <row r="11" spans="1:9" s="116" customFormat="1" ht="60" customHeight="1">
      <c r="A11" s="126"/>
      <c r="B11" s="126" t="s">
        <v>36</v>
      </c>
      <c r="C11" s="126" t="s">
        <v>4</v>
      </c>
      <c r="D11" s="126" t="s">
        <v>187</v>
      </c>
      <c r="E11" s="126" t="s">
        <v>188</v>
      </c>
      <c r="F11" s="179" t="s">
        <v>29</v>
      </c>
      <c r="G11" s="138" t="s">
        <v>363</v>
      </c>
      <c r="H11"/>
      <c r="I11"/>
    </row>
    <row r="12" spans="1:9">
      <c r="A12" s="117" t="s">
        <v>186</v>
      </c>
      <c r="B12" s="118" t="s">
        <v>113</v>
      </c>
      <c r="C12" s="211">
        <f>'Зобов"яз_членів'!B9</f>
        <v>20000</v>
      </c>
      <c r="D12" s="213">
        <v>15</v>
      </c>
      <c r="E12" s="211">
        <f>D12*C12</f>
        <v>300000</v>
      </c>
      <c r="F12" s="211">
        <f>E12*пдв</f>
        <v>60000</v>
      </c>
      <c r="G12" s="211">
        <f>E12-F12</f>
        <v>240000</v>
      </c>
      <c r="H12" s="116"/>
      <c r="I12" s="116"/>
    </row>
    <row r="13" spans="1:9">
      <c r="A13" s="129" t="s">
        <v>7</v>
      </c>
      <c r="B13" s="117"/>
      <c r="C13" s="117"/>
      <c r="D13" s="117"/>
      <c r="E13" s="198">
        <f>SUM(E12:E12)</f>
        <v>300000</v>
      </c>
      <c r="F13" s="198">
        <f>SUM(F12:F12)</f>
        <v>60000</v>
      </c>
      <c r="G13" s="198">
        <f>SUM(G12:G12)</f>
        <v>240000</v>
      </c>
    </row>
    <row r="14" spans="1:9">
      <c r="A14" s="222"/>
      <c r="B14" s="223"/>
      <c r="C14" s="223"/>
      <c r="D14" s="223"/>
      <c r="E14" s="224"/>
      <c r="F14" s="224"/>
      <c r="G14" s="224"/>
    </row>
    <row r="15" spans="1:9">
      <c r="A15" s="83" t="s">
        <v>364</v>
      </c>
      <c r="B15" s="83"/>
      <c r="D15" s="223"/>
      <c r="E15" s="224"/>
      <c r="F15" s="224"/>
      <c r="G15" s="224"/>
    </row>
    <row r="16" spans="1:9">
      <c r="D16" s="223"/>
      <c r="E16" s="224"/>
      <c r="F16" s="224"/>
      <c r="G16" s="224"/>
    </row>
    <row r="17" spans="1:9">
      <c r="A17" s="117" t="s">
        <v>273</v>
      </c>
      <c r="B17" s="198">
        <f>G9+E13</f>
        <v>2106818.1818181816</v>
      </c>
      <c r="I17" s="148"/>
    </row>
    <row r="18" spans="1:9">
      <c r="A18" s="117" t="s">
        <v>29</v>
      </c>
      <c r="B18" s="198">
        <f>H9+F13</f>
        <v>421363.63636363635</v>
      </c>
      <c r="I18" s="148"/>
    </row>
    <row r="19" spans="1:9">
      <c r="A19" s="153" t="s">
        <v>206</v>
      </c>
      <c r="B19" s="259">
        <f>G13+I9</f>
        <v>1685454.5454545454</v>
      </c>
      <c r="C19" s="85"/>
      <c r="G19" s="136"/>
    </row>
    <row r="21" spans="1:9">
      <c r="A21" s="83" t="s">
        <v>362</v>
      </c>
      <c r="B21" s="83"/>
    </row>
    <row r="23" spans="1:9">
      <c r="A23" s="262" t="s">
        <v>293</v>
      </c>
      <c r="B23" s="117"/>
    </row>
    <row r="24" spans="1:9">
      <c r="A24" s="117" t="s">
        <v>294</v>
      </c>
      <c r="B24" s="117"/>
    </row>
    <row r="25" spans="1:9">
      <c r="A25" s="117" t="s">
        <v>290</v>
      </c>
      <c r="B25" s="255">
        <f>Трактор!C41</f>
        <v>598.11022700615342</v>
      </c>
    </row>
    <row r="26" spans="1:9">
      <c r="A26" s="117" t="s">
        <v>291</v>
      </c>
      <c r="B26" s="255">
        <f>Трактор!C63</f>
        <v>26.159088956185339</v>
      </c>
    </row>
    <row r="27" spans="1:9">
      <c r="A27" s="117" t="s">
        <v>292</v>
      </c>
      <c r="B27" s="255">
        <f>Трактор!C83</f>
        <v>265.50281147211894</v>
      </c>
    </row>
    <row r="28" spans="1:9">
      <c r="A28" s="262" t="s">
        <v>365</v>
      </c>
      <c r="B28" s="261"/>
    </row>
    <row r="29" spans="1:9">
      <c r="A29" s="117" t="s">
        <v>295</v>
      </c>
      <c r="B29" s="255">
        <f>G13*сф</f>
        <v>2400</v>
      </c>
    </row>
    <row r="30" spans="1:9">
      <c r="A30" s="117" t="s">
        <v>296</v>
      </c>
      <c r="B30" s="255">
        <f>B19*сф</f>
        <v>16854.545454545456</v>
      </c>
    </row>
    <row r="31" spans="1:9">
      <c r="A31" s="153" t="s">
        <v>7</v>
      </c>
      <c r="B31" s="260">
        <f>SUM(B25:B30)</f>
        <v>20144.317581979914</v>
      </c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scale="88" fitToWidth="0" orientation="landscape" r:id="rId1"/>
  <headerFoot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opLeftCell="A48" zoomScale="130" zoomScaleNormal="130" workbookViewId="0">
      <selection activeCell="C38" sqref="C38"/>
    </sheetView>
  </sheetViews>
  <sheetFormatPr defaultRowHeight="15"/>
  <cols>
    <col min="1" max="1" width="5.5703125" customWidth="1"/>
    <col min="2" max="2" width="41" customWidth="1"/>
    <col min="3" max="3" width="17" style="90" customWidth="1"/>
    <col min="4" max="4" width="12.42578125" style="90" customWidth="1"/>
    <col min="5" max="5" width="21.7109375" style="90" customWidth="1"/>
    <col min="6" max="6" width="11.42578125" customWidth="1"/>
    <col min="7" max="7" width="14.7109375" customWidth="1"/>
  </cols>
  <sheetData>
    <row r="2" spans="1:8" ht="15.75" customHeight="1">
      <c r="A2" s="83" t="s">
        <v>112</v>
      </c>
      <c r="B2" s="22"/>
      <c r="C2" s="88"/>
      <c r="D2" s="88"/>
      <c r="E2" s="89"/>
      <c r="F2" s="89"/>
      <c r="G2" s="89"/>
      <c r="H2" s="89"/>
    </row>
    <row r="3" spans="1:8" ht="15.75" customHeight="1">
      <c r="A3" s="99"/>
      <c r="B3" s="100"/>
      <c r="C3" s="101"/>
      <c r="D3" s="101"/>
      <c r="E3" s="102"/>
      <c r="F3" s="102"/>
    </row>
    <row r="4" spans="1:8">
      <c r="A4" s="42" t="s">
        <v>91</v>
      </c>
      <c r="B4" s="42" t="s">
        <v>3</v>
      </c>
      <c r="C4" s="42" t="s">
        <v>36</v>
      </c>
      <c r="D4" s="42" t="s">
        <v>4</v>
      </c>
      <c r="E4" s="42" t="s">
        <v>18</v>
      </c>
      <c r="F4" s="42" t="s">
        <v>5</v>
      </c>
    </row>
    <row r="5" spans="1:8">
      <c r="A5" s="94">
        <v>1</v>
      </c>
      <c r="B5" s="112" t="s">
        <v>114</v>
      </c>
      <c r="C5" s="113" t="s">
        <v>9</v>
      </c>
      <c r="D5" s="113">
        <v>300</v>
      </c>
      <c r="E5" s="114">
        <v>11</v>
      </c>
      <c r="F5" s="68">
        <f>E5*D5</f>
        <v>3300</v>
      </c>
    </row>
    <row r="6" spans="1:8">
      <c r="A6" s="94">
        <v>2</v>
      </c>
      <c r="B6" s="112" t="s">
        <v>205</v>
      </c>
      <c r="C6" s="113" t="s">
        <v>9</v>
      </c>
      <c r="D6" s="113">
        <v>17</v>
      </c>
      <c r="E6" s="114">
        <f>9.74*Курс</f>
        <v>79.283600000000007</v>
      </c>
      <c r="F6" s="68">
        <f>E6*D6-8</f>
        <v>1339.8212000000001</v>
      </c>
    </row>
    <row r="7" spans="1:8">
      <c r="A7" s="94">
        <v>3</v>
      </c>
      <c r="B7" s="112" t="s">
        <v>115</v>
      </c>
      <c r="C7" s="113" t="s">
        <v>116</v>
      </c>
      <c r="D7" s="113">
        <f>3.805*8*30</f>
        <v>913.2</v>
      </c>
      <c r="E7" s="114">
        <v>0.74370000000000003</v>
      </c>
      <c r="F7" s="68">
        <f>E7*D7</f>
        <v>679.14684000000011</v>
      </c>
    </row>
    <row r="8" spans="1:8">
      <c r="A8" s="94">
        <v>4</v>
      </c>
      <c r="B8" s="112" t="s">
        <v>119</v>
      </c>
      <c r="C8" s="113" t="s">
        <v>113</v>
      </c>
      <c r="D8" s="113">
        <v>14</v>
      </c>
      <c r="E8" s="114">
        <v>11.5</v>
      </c>
      <c r="F8" s="68">
        <f>E8*D8</f>
        <v>161</v>
      </c>
    </row>
    <row r="9" spans="1:8" ht="15.75">
      <c r="A9" s="43"/>
      <c r="B9" s="42" t="s">
        <v>96</v>
      </c>
      <c r="C9" s="43"/>
      <c r="D9" s="43"/>
      <c r="E9" s="77"/>
      <c r="F9" s="77">
        <f>SUM(F4:F8)</f>
        <v>5479.9680400000007</v>
      </c>
    </row>
    <row r="10" spans="1:8" ht="16.5" customHeight="1"/>
    <row r="11" spans="1:8" ht="16.5" customHeight="1">
      <c r="A11" s="83" t="s">
        <v>98</v>
      </c>
      <c r="B11" s="22"/>
      <c r="C11" s="88"/>
      <c r="D11" s="88"/>
      <c r="E11" s="89"/>
      <c r="F11" s="89"/>
    </row>
    <row r="12" spans="1:8" s="104" customFormat="1" ht="16.5" customHeight="1">
      <c r="A12" s="99"/>
      <c r="B12" s="100"/>
      <c r="C12" s="101"/>
      <c r="D12" s="101"/>
      <c r="E12" s="103"/>
    </row>
    <row r="13" spans="1:8" ht="16.5" customHeight="1">
      <c r="A13" s="42" t="s">
        <v>91</v>
      </c>
      <c r="B13" s="42" t="s">
        <v>3</v>
      </c>
      <c r="C13" s="42" t="s">
        <v>5</v>
      </c>
      <c r="D13"/>
      <c r="E13"/>
    </row>
    <row r="14" spans="1:8" ht="28.5" customHeight="1">
      <c r="A14" s="94">
        <v>1</v>
      </c>
      <c r="B14" s="112" t="s">
        <v>117</v>
      </c>
      <c r="C14" s="95">
        <v>0</v>
      </c>
      <c r="D14"/>
      <c r="E14"/>
    </row>
    <row r="15" spans="1:8" ht="15.75" customHeight="1">
      <c r="A15" s="94">
        <v>2</v>
      </c>
      <c r="B15" s="112" t="s">
        <v>179</v>
      </c>
      <c r="C15" s="95">
        <v>0</v>
      </c>
      <c r="D15"/>
      <c r="E15"/>
    </row>
    <row r="16" spans="1:8" ht="16.5" customHeight="1">
      <c r="A16" s="94">
        <v>3</v>
      </c>
      <c r="B16" s="112" t="s">
        <v>118</v>
      </c>
      <c r="C16" s="95">
        <v>5000</v>
      </c>
      <c r="D16"/>
      <c r="E16"/>
    </row>
    <row r="17" spans="1:6" ht="16.5" customHeight="1">
      <c r="A17" s="43"/>
      <c r="B17" s="42" t="s">
        <v>96</v>
      </c>
      <c r="C17" s="77">
        <f>SUM(C14:C16)</f>
        <v>5000</v>
      </c>
      <c r="D17"/>
      <c r="E17"/>
    </row>
    <row r="18" spans="1:6" ht="16.5" customHeight="1"/>
    <row r="19" spans="1:6">
      <c r="A19" s="83" t="s">
        <v>97</v>
      </c>
      <c r="B19" s="22"/>
      <c r="C19" s="88"/>
      <c r="D19" s="88"/>
      <c r="E19" s="89"/>
      <c r="F19" s="89"/>
    </row>
    <row r="21" spans="1:6" s="92" customFormat="1" ht="30">
      <c r="A21" s="42" t="s">
        <v>91</v>
      </c>
      <c r="B21" s="42" t="s">
        <v>3</v>
      </c>
      <c r="C21" s="42" t="s">
        <v>4</v>
      </c>
      <c r="D21" s="42" t="s">
        <v>18</v>
      </c>
      <c r="E21" s="42" t="s">
        <v>5</v>
      </c>
    </row>
    <row r="22" spans="1:6" ht="15.75" customHeight="1">
      <c r="A22" s="94">
        <v>1</v>
      </c>
      <c r="B22" s="112" t="s">
        <v>92</v>
      </c>
      <c r="C22" s="113">
        <v>1</v>
      </c>
      <c r="D22" s="169">
        <v>170000</v>
      </c>
      <c r="E22" s="68">
        <f>D22*C22</f>
        <v>170000</v>
      </c>
    </row>
    <row r="23" spans="1:6" ht="14.25" customHeight="1">
      <c r="A23" s="94">
        <v>2</v>
      </c>
      <c r="B23" s="112" t="s">
        <v>94</v>
      </c>
      <c r="C23" s="113">
        <v>1</v>
      </c>
      <c r="D23" s="67">
        <v>5600</v>
      </c>
      <c r="E23" s="68">
        <f>D23*C23</f>
        <v>5600</v>
      </c>
    </row>
    <row r="24" spans="1:6" ht="12.75" customHeight="1">
      <c r="A24" s="94">
        <v>3</v>
      </c>
      <c r="B24" s="112" t="s">
        <v>93</v>
      </c>
      <c r="C24" s="113">
        <v>1</v>
      </c>
      <c r="D24" s="169">
        <v>154900</v>
      </c>
      <c r="E24" s="68">
        <f>D24*C24</f>
        <v>154900</v>
      </c>
    </row>
    <row r="25" spans="1:6" ht="12.75" customHeight="1">
      <c r="A25" s="94">
        <v>4</v>
      </c>
      <c r="B25" s="112" t="s">
        <v>180</v>
      </c>
      <c r="C25" s="113">
        <v>1</v>
      </c>
      <c r="D25" s="67">
        <v>1500</v>
      </c>
      <c r="E25" s="68">
        <f>D25*C25</f>
        <v>1500</v>
      </c>
    </row>
    <row r="26" spans="1:6" ht="29.25" customHeight="1">
      <c r="A26" s="94">
        <v>5</v>
      </c>
      <c r="B26" s="112" t="s">
        <v>99</v>
      </c>
      <c r="C26" s="95"/>
      <c r="D26" s="91"/>
      <c r="E26" s="68">
        <f>F9</f>
        <v>5479.9680400000007</v>
      </c>
    </row>
    <row r="27" spans="1:6">
      <c r="A27" s="94">
        <v>6</v>
      </c>
      <c r="B27" s="112" t="s">
        <v>95</v>
      </c>
      <c r="C27" s="96"/>
      <c r="D27" s="96"/>
      <c r="E27" s="66">
        <v>5000</v>
      </c>
    </row>
    <row r="28" spans="1:6">
      <c r="A28" s="94">
        <v>7</v>
      </c>
      <c r="B28" s="112" t="s">
        <v>359</v>
      </c>
      <c r="C28" s="96"/>
      <c r="D28" s="96"/>
      <c r="E28" s="68">
        <f>C17</f>
        <v>5000</v>
      </c>
    </row>
    <row r="29" spans="1:6" ht="15.75" customHeight="1">
      <c r="A29" s="94">
        <v>8</v>
      </c>
      <c r="B29" s="112" t="s">
        <v>198</v>
      </c>
      <c r="C29" s="96"/>
      <c r="D29" s="96"/>
      <c r="E29" s="66">
        <v>2000</v>
      </c>
    </row>
    <row r="30" spans="1:6" ht="15.75">
      <c r="A30" s="43"/>
      <c r="B30" s="42" t="s">
        <v>96</v>
      </c>
      <c r="C30" s="43"/>
      <c r="D30" s="43"/>
      <c r="E30" s="77">
        <f>SUM(E22:E29)</f>
        <v>349479.96804000001</v>
      </c>
    </row>
    <row r="31" spans="1:6">
      <c r="A31" s="150"/>
      <c r="B31" s="151"/>
      <c r="C31" s="150"/>
      <c r="D31" s="150"/>
      <c r="E31" s="152"/>
      <c r="F31" s="104"/>
    </row>
    <row r="32" spans="1:6">
      <c r="A32" s="150"/>
      <c r="B32" s="151" t="s">
        <v>299</v>
      </c>
      <c r="C32" s="150">
        <f>E30/'Вхідні - Адмін_витрати'!C4</f>
        <v>1180.6755677027027</v>
      </c>
      <c r="D32" s="150"/>
      <c r="E32" s="152"/>
      <c r="F32" s="104"/>
    </row>
    <row r="34" spans="1:7">
      <c r="A34" s="83" t="s">
        <v>110</v>
      </c>
      <c r="B34" s="22"/>
      <c r="C34" s="88"/>
      <c r="D34" s="88"/>
      <c r="E34" s="89"/>
      <c r="F34" s="89"/>
    </row>
    <row r="35" spans="1:7">
      <c r="A35" s="86"/>
      <c r="C35"/>
      <c r="D35"/>
      <c r="E35"/>
    </row>
    <row r="36" spans="1:7" ht="44.25" customHeight="1">
      <c r="A36" s="42" t="s">
        <v>91</v>
      </c>
      <c r="B36" s="42" t="s">
        <v>100</v>
      </c>
      <c r="C36" s="272" t="s">
        <v>101</v>
      </c>
      <c r="D36" s="272"/>
      <c r="E36" s="272"/>
      <c r="F36" s="42" t="s">
        <v>102</v>
      </c>
      <c r="G36" s="160"/>
    </row>
    <row r="37" spans="1:7" ht="45">
      <c r="A37" s="42"/>
      <c r="B37" s="42"/>
      <c r="C37" s="42" t="s">
        <v>103</v>
      </c>
      <c r="D37" s="42" t="s">
        <v>111</v>
      </c>
      <c r="E37" s="42" t="s">
        <v>104</v>
      </c>
      <c r="F37" s="42"/>
      <c r="G37" s="160" t="s">
        <v>211</v>
      </c>
    </row>
    <row r="38" spans="1:7">
      <c r="A38" s="94">
        <v>1</v>
      </c>
      <c r="B38" s="112" t="s">
        <v>105</v>
      </c>
      <c r="C38" s="49">
        <f>25000*Курс</f>
        <v>203500</v>
      </c>
      <c r="D38" s="49"/>
      <c r="E38" s="158">
        <f t="shared" ref="E38:E43" si="0">D38+C38</f>
        <v>203500</v>
      </c>
      <c r="F38" s="159">
        <f t="shared" ref="F38:F43" si="1">E38/вартість1</f>
        <v>0.58229369348746707</v>
      </c>
      <c r="G38" s="158">
        <f t="shared" ref="G38:G43" si="2">E38/Курс</f>
        <v>25000</v>
      </c>
    </row>
    <row r="39" spans="1:7">
      <c r="A39" s="94">
        <v>2</v>
      </c>
      <c r="B39" s="112" t="s">
        <v>106</v>
      </c>
      <c r="C39" s="49">
        <v>80000</v>
      </c>
      <c r="D39" s="49"/>
      <c r="E39" s="158">
        <f t="shared" si="0"/>
        <v>80000</v>
      </c>
      <c r="F39" s="159">
        <f t="shared" si="1"/>
        <v>0.22891152569531875</v>
      </c>
      <c r="G39" s="158">
        <f t="shared" si="2"/>
        <v>9828.0098280098282</v>
      </c>
    </row>
    <row r="40" spans="1:7">
      <c r="A40" s="94">
        <v>3</v>
      </c>
      <c r="B40" s="112" t="s">
        <v>107</v>
      </c>
      <c r="C40" s="49">
        <v>13000</v>
      </c>
      <c r="D40" s="49"/>
      <c r="E40" s="158">
        <f t="shared" si="0"/>
        <v>13000</v>
      </c>
      <c r="F40" s="159">
        <f t="shared" si="1"/>
        <v>3.7198122925489296E-2</v>
      </c>
      <c r="G40" s="158">
        <f t="shared" si="2"/>
        <v>1597.0515970515969</v>
      </c>
    </row>
    <row r="41" spans="1:7">
      <c r="A41" s="94">
        <v>4</v>
      </c>
      <c r="B41" s="112" t="s">
        <v>108</v>
      </c>
      <c r="C41" s="49">
        <v>42250</v>
      </c>
      <c r="D41" s="49"/>
      <c r="E41" s="158">
        <f t="shared" si="0"/>
        <v>42250</v>
      </c>
      <c r="F41" s="159">
        <f t="shared" si="1"/>
        <v>0.12089389950784021</v>
      </c>
      <c r="G41" s="158">
        <f t="shared" si="2"/>
        <v>5190.4176904176902</v>
      </c>
    </row>
    <row r="42" spans="1:7" ht="14.25" customHeight="1">
      <c r="A42" s="94">
        <v>5</v>
      </c>
      <c r="B42" s="112" t="s">
        <v>109</v>
      </c>
      <c r="C42" s="49">
        <v>0</v>
      </c>
      <c r="D42" s="49"/>
      <c r="E42" s="158">
        <f t="shared" si="0"/>
        <v>0</v>
      </c>
      <c r="F42" s="159">
        <f t="shared" si="1"/>
        <v>0</v>
      </c>
      <c r="G42" s="158">
        <f t="shared" si="2"/>
        <v>0</v>
      </c>
    </row>
    <row r="43" spans="1:7">
      <c r="A43" s="94">
        <v>6</v>
      </c>
      <c r="B43" s="112" t="s">
        <v>181</v>
      </c>
      <c r="C43" s="31">
        <v>10730</v>
      </c>
      <c r="D43" s="31"/>
      <c r="E43" s="167">
        <f t="shared" si="0"/>
        <v>10730</v>
      </c>
      <c r="F43" s="159">
        <f t="shared" si="1"/>
        <v>3.0702758383884629E-2</v>
      </c>
      <c r="G43" s="158">
        <f t="shared" si="2"/>
        <v>1318.181818181818</v>
      </c>
    </row>
    <row r="44" spans="1:7">
      <c r="A44" s="42"/>
      <c r="B44" s="42" t="s">
        <v>7</v>
      </c>
      <c r="C44" s="77">
        <f>SUM(C38:C43)</f>
        <v>349480</v>
      </c>
      <c r="D44" s="97"/>
      <c r="E44" s="77">
        <f>SUM(E38:E43)</f>
        <v>349480</v>
      </c>
      <c r="F44" s="98">
        <f>SUM(F38:F43)</f>
        <v>1</v>
      </c>
    </row>
    <row r="45" spans="1:7">
      <c r="C45" s="105">
        <f>E30-вартість</f>
        <v>-3.1959999992977828E-2</v>
      </c>
      <c r="D45" s="233"/>
      <c r="E45"/>
    </row>
    <row r="46" spans="1:7" ht="37.5">
      <c r="B46" s="258" t="s">
        <v>361</v>
      </c>
      <c r="C46" s="252">
        <f>E39/'Вхідні - Адмін_витрати'!C4</f>
        <v>270.27027027027026</v>
      </c>
      <c r="D46"/>
      <c r="E46"/>
    </row>
    <row r="47" spans="1:7" ht="18.75">
      <c r="B47" s="258" t="s">
        <v>208</v>
      </c>
      <c r="C47" s="252">
        <f>E41+E40</f>
        <v>55250</v>
      </c>
      <c r="D47"/>
      <c r="E47"/>
    </row>
    <row r="48" spans="1:7" ht="37.5">
      <c r="B48" s="258" t="s">
        <v>346</v>
      </c>
      <c r="C48" s="252">
        <f>E43+E38</f>
        <v>214230</v>
      </c>
      <c r="D48"/>
      <c r="E48"/>
    </row>
    <row r="49" spans="1:5">
      <c r="C49" s="105"/>
      <c r="D49"/>
      <c r="E49"/>
    </row>
    <row r="50" spans="1:5" ht="22.5" customHeight="1">
      <c r="A50" s="42" t="s">
        <v>91</v>
      </c>
      <c r="B50" s="42" t="s">
        <v>126</v>
      </c>
      <c r="C50" s="42" t="s">
        <v>127</v>
      </c>
      <c r="D50"/>
      <c r="E50"/>
    </row>
    <row r="51" spans="1:5" s="107" customFormat="1" ht="18" customHeight="1">
      <c r="A51" s="106" t="s">
        <v>128</v>
      </c>
      <c r="B51" s="108" t="s">
        <v>78</v>
      </c>
      <c r="C51" s="109">
        <v>2000</v>
      </c>
    </row>
    <row r="52" spans="1:5" s="107" customFormat="1" ht="14.25" customHeight="1">
      <c r="A52" s="106" t="s">
        <v>129</v>
      </c>
      <c r="B52" s="108" t="s">
        <v>130</v>
      </c>
      <c r="C52" s="109">
        <v>5000</v>
      </c>
    </row>
    <row r="53" spans="1:5" s="107" customFormat="1" ht="15.75" customHeight="1">
      <c r="A53" s="106" t="s">
        <v>131</v>
      </c>
      <c r="B53" s="108" t="s">
        <v>132</v>
      </c>
      <c r="C53" s="109"/>
    </row>
    <row r="54" spans="1:5" s="107" customFormat="1" ht="30">
      <c r="A54" s="106" t="s">
        <v>133</v>
      </c>
      <c r="B54" s="108" t="s">
        <v>134</v>
      </c>
      <c r="C54" s="109"/>
    </row>
    <row r="55" spans="1:5" s="107" customFormat="1" ht="15.75" customHeight="1">
      <c r="A55" s="106" t="s">
        <v>135</v>
      </c>
      <c r="B55" s="108" t="s">
        <v>136</v>
      </c>
      <c r="C55" s="109">
        <f>E22+E23+E24+E25</f>
        <v>332000</v>
      </c>
    </row>
    <row r="56" spans="1:5" s="107" customFormat="1" ht="30">
      <c r="A56" s="106" t="s">
        <v>137</v>
      </c>
      <c r="B56" s="108" t="s">
        <v>139</v>
      </c>
      <c r="C56" s="109"/>
    </row>
    <row r="57" spans="1:5" s="107" customFormat="1">
      <c r="A57" s="106"/>
      <c r="B57" s="108" t="s">
        <v>199</v>
      </c>
      <c r="C57" s="109">
        <v>5000</v>
      </c>
    </row>
    <row r="58" spans="1:5" s="107" customFormat="1" ht="16.5" customHeight="1">
      <c r="A58" s="106" t="s">
        <v>138</v>
      </c>
      <c r="B58" s="108" t="s">
        <v>140</v>
      </c>
      <c r="C58" s="109">
        <f>E26</f>
        <v>5479.9680400000007</v>
      </c>
    </row>
    <row r="59" spans="1:5">
      <c r="A59" s="42"/>
      <c r="B59" s="42" t="s">
        <v>7</v>
      </c>
      <c r="C59" s="77">
        <f>SUM(C51:C58)</f>
        <v>349479.96804000001</v>
      </c>
      <c r="D59"/>
      <c r="E59"/>
    </row>
    <row r="60" spans="1:5">
      <c r="C60" s="105">
        <f>C59-вартість1</f>
        <v>-3.1959999992977828E-2</v>
      </c>
      <c r="D60"/>
      <c r="E60"/>
    </row>
    <row r="61" spans="1:5">
      <c r="A61" s="87"/>
      <c r="C61"/>
      <c r="D61"/>
      <c r="E61"/>
    </row>
  </sheetData>
  <mergeCells count="1">
    <mergeCell ref="C36:E3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&amp;A&amp;RPage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"/>
  <sheetViews>
    <sheetView workbookViewId="0">
      <selection activeCell="J4" sqref="J4"/>
    </sheetView>
  </sheetViews>
  <sheetFormatPr defaultRowHeight="15"/>
  <cols>
    <col min="2" max="2" width="18.42578125" customWidth="1"/>
    <col min="4" max="4" width="16.7109375" customWidth="1"/>
    <col min="6" max="6" width="16.7109375" customWidth="1"/>
    <col min="7" max="7" width="12.140625" bestFit="1" customWidth="1"/>
    <col min="8" max="8" width="20.5703125" customWidth="1"/>
  </cols>
  <sheetData>
    <row r="1" spans="2:10">
      <c r="B1" s="83" t="s">
        <v>369</v>
      </c>
      <c r="C1" s="22"/>
      <c r="D1" s="88"/>
      <c r="E1" s="88"/>
    </row>
    <row r="3" spans="2:10" s="92" customFormat="1" ht="30.75" customHeight="1">
      <c r="B3" s="209"/>
      <c r="C3" s="266" t="s">
        <v>358</v>
      </c>
      <c r="D3" s="266" t="s">
        <v>372</v>
      </c>
      <c r="E3" s="266" t="s">
        <v>209</v>
      </c>
      <c r="F3" s="266" t="s">
        <v>371</v>
      </c>
      <c r="G3" s="266" t="s">
        <v>209</v>
      </c>
      <c r="H3" s="266" t="s">
        <v>370</v>
      </c>
      <c r="I3" s="266" t="s">
        <v>209</v>
      </c>
      <c r="J3" s="209" t="s">
        <v>357</v>
      </c>
    </row>
    <row r="4" spans="2:10">
      <c r="B4" s="117" t="s">
        <v>355</v>
      </c>
      <c r="C4" s="254">
        <f>'Коштор проекту дж фінанс'!C59</f>
        <v>349479.96804000001</v>
      </c>
      <c r="D4" s="255">
        <f>ABS(Трактор!G65*Трактор!D30+Трактор!G43*Трактор!D52)</f>
        <v>173007.05229382069</v>
      </c>
      <c r="E4" s="256">
        <f>D4/C4</f>
        <v>0.49504139897946603</v>
      </c>
      <c r="F4" s="255">
        <f>Черешня!C54*Черешня!P24</f>
        <v>71899.256956256184</v>
      </c>
      <c r="G4" s="256">
        <f>F4/C4</f>
        <v>0.20573212639193927</v>
      </c>
      <c r="H4" s="255">
        <f>Молоко!C56*Молоко!P20</f>
        <v>725199.65590741148</v>
      </c>
      <c r="I4" s="256">
        <f>H4/C4</f>
        <v>2.0750821856101584</v>
      </c>
      <c r="J4" s="256">
        <f>AVERAGE(I4+G4+E4)</f>
        <v>2.7758557109815638</v>
      </c>
    </row>
    <row r="5" spans="2:10">
      <c r="B5" s="117" t="s">
        <v>356</v>
      </c>
      <c r="C5" s="254">
        <f>'Коштор проекту дж фінанс'!C39</f>
        <v>80000</v>
      </c>
      <c r="D5" s="257">
        <f>D4</f>
        <v>173007.05229382069</v>
      </c>
      <c r="E5" s="256">
        <f>D5/C5</f>
        <v>2.1625881536727585</v>
      </c>
      <c r="F5" s="255">
        <f>F4</f>
        <v>71899.256956256184</v>
      </c>
      <c r="G5" s="256">
        <f>F5/C5</f>
        <v>0.89874071195320226</v>
      </c>
      <c r="H5" s="255">
        <f>H4</f>
        <v>725199.65590741148</v>
      </c>
      <c r="I5" s="256">
        <f>H5/C5</f>
        <v>9.0649956988426439</v>
      </c>
      <c r="J5" s="256">
        <f>AVERAGE(I5+G5+E5)</f>
        <v>12.126324564468604</v>
      </c>
    </row>
  </sheetData>
  <pageMargins left="0.11811023622047245" right="0.11811023622047245" top="0.74803149606299213" bottom="0.74803149606299213" header="0.31496062992125984" footer="0.31496062992125984"/>
  <pageSetup fitToHeight="0" orientation="landscape" r:id="rId1"/>
  <headerFoot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7"/>
  <sheetViews>
    <sheetView topLeftCell="A16" workbookViewId="0">
      <selection activeCell="E34" sqref="E34"/>
    </sheetView>
  </sheetViews>
  <sheetFormatPr defaultRowHeight="15" outlineLevelRow="1"/>
  <cols>
    <col min="1" max="1" width="9.140625" style="8"/>
    <col min="2" max="2" width="53.5703125" style="8" customWidth="1"/>
    <col min="3" max="3" width="9.28515625" style="8" customWidth="1"/>
    <col min="4" max="4" width="8.85546875" style="8" customWidth="1"/>
    <col min="5" max="5" width="10" style="8" customWidth="1"/>
    <col min="6" max="6" width="9.28515625" style="8" customWidth="1"/>
    <col min="7" max="7" width="8.85546875" style="8" customWidth="1"/>
    <col min="8" max="9" width="8.7109375" style="8" customWidth="1"/>
    <col min="10" max="10" width="9.140625" style="8" customWidth="1"/>
    <col min="11" max="11" width="9.42578125" style="8" customWidth="1"/>
    <col min="12" max="12" width="10.140625" style="8" customWidth="1"/>
    <col min="13" max="13" width="10.7109375" style="8" customWidth="1"/>
    <col min="14" max="14" width="9.42578125" style="8" customWidth="1"/>
    <col min="15" max="15" width="12.140625" style="8" customWidth="1"/>
    <col min="16" max="16" width="12" style="8" customWidth="1"/>
    <col min="17" max="17" width="9.5703125" style="8" customWidth="1"/>
    <col min="18" max="16384" width="9.140625" style="8"/>
  </cols>
  <sheetData>
    <row r="1" spans="2:17">
      <c r="B1" s="8" t="s">
        <v>337</v>
      </c>
      <c r="C1" s="242">
        <v>0.24</v>
      </c>
    </row>
    <row r="2" spans="2:17" ht="31.5" customHeight="1">
      <c r="B2" s="8" t="s">
        <v>338</v>
      </c>
      <c r="C2" s="245">
        <v>200000</v>
      </c>
      <c r="D2" s="245" t="s">
        <v>340</v>
      </c>
      <c r="E2" s="245" t="s">
        <v>345</v>
      </c>
      <c r="F2" s="9"/>
    </row>
    <row r="3" spans="2:17">
      <c r="B3" s="8" t="s">
        <v>339</v>
      </c>
      <c r="C3" s="243">
        <v>3</v>
      </c>
      <c r="D3" s="243">
        <v>3</v>
      </c>
      <c r="E3" s="244">
        <f>C1/D3</f>
        <v>0.08</v>
      </c>
    </row>
    <row r="4" spans="2:17">
      <c r="C4" s="243"/>
    </row>
    <row r="5" spans="2:17" ht="30">
      <c r="B5" s="249" t="s">
        <v>341</v>
      </c>
      <c r="C5" s="250" t="s">
        <v>342</v>
      </c>
      <c r="D5" s="250" t="s">
        <v>343</v>
      </c>
      <c r="E5" s="250" t="s">
        <v>209</v>
      </c>
      <c r="F5" s="250" t="s">
        <v>344</v>
      </c>
    </row>
    <row r="6" spans="2:17">
      <c r="B6" s="157" t="s">
        <v>51</v>
      </c>
      <c r="C6" s="246">
        <f>C2</f>
        <v>200000</v>
      </c>
      <c r="D6" s="246">
        <f>C2/C3</f>
        <v>66666.666666666672</v>
      </c>
      <c r="E6" s="246">
        <f>C6*E3</f>
        <v>16000</v>
      </c>
      <c r="F6" s="246">
        <f>C6-D6</f>
        <v>133333.33333333331</v>
      </c>
    </row>
    <row r="7" spans="2:17">
      <c r="B7" s="157" t="s">
        <v>37</v>
      </c>
      <c r="C7" s="246">
        <f>F6</f>
        <v>133333.33333333331</v>
      </c>
      <c r="D7" s="246">
        <f>D6</f>
        <v>66666.666666666672</v>
      </c>
      <c r="E7" s="246">
        <f>C7*E3</f>
        <v>10666.666666666666</v>
      </c>
      <c r="F7" s="246">
        <f>C7-D7</f>
        <v>66666.666666666642</v>
      </c>
    </row>
    <row r="8" spans="2:17">
      <c r="B8" s="157" t="s">
        <v>38</v>
      </c>
      <c r="C8" s="246">
        <f>F7</f>
        <v>66666.666666666642</v>
      </c>
      <c r="D8" s="246">
        <f>D7</f>
        <v>66666.666666666672</v>
      </c>
      <c r="E8" s="246">
        <f>C8*E3</f>
        <v>5333.3333333333312</v>
      </c>
      <c r="F8" s="246">
        <f>C8-D8</f>
        <v>0</v>
      </c>
    </row>
    <row r="9" spans="2:17">
      <c r="B9" s="247" t="s">
        <v>234</v>
      </c>
      <c r="C9" s="248"/>
      <c r="D9" s="248"/>
      <c r="E9" s="248">
        <f t="shared" ref="E9" si="0">SUM(E6:E8)</f>
        <v>31999.999999999996</v>
      </c>
      <c r="F9" s="248"/>
    </row>
    <row r="11" spans="2:17">
      <c r="B11" s="20" t="s">
        <v>68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7"/>
      <c r="Q11" s="17"/>
    </row>
    <row r="12" spans="2:17">
      <c r="B12" s="71"/>
    </row>
    <row r="13" spans="2:17" ht="30" customHeight="1">
      <c r="B13" s="54" t="s">
        <v>21</v>
      </c>
      <c r="C13" s="273" t="s">
        <v>64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2:17" ht="30">
      <c r="B14" s="54"/>
      <c r="C14" s="54" t="s">
        <v>325</v>
      </c>
      <c r="D14" s="237" t="s">
        <v>326</v>
      </c>
      <c r="E14" s="237" t="s">
        <v>327</v>
      </c>
      <c r="F14" s="237" t="s">
        <v>328</v>
      </c>
      <c r="G14" s="237" t="s">
        <v>329</v>
      </c>
      <c r="H14" s="237" t="s">
        <v>330</v>
      </c>
      <c r="I14" s="237" t="s">
        <v>331</v>
      </c>
      <c r="J14" s="237" t="s">
        <v>332</v>
      </c>
      <c r="K14" s="237" t="s">
        <v>333</v>
      </c>
      <c r="L14" s="237" t="s">
        <v>334</v>
      </c>
      <c r="M14" s="237" t="s">
        <v>335</v>
      </c>
      <c r="N14" s="237" t="s">
        <v>336</v>
      </c>
      <c r="O14" s="237" t="s">
        <v>51</v>
      </c>
      <c r="P14" s="54" t="s">
        <v>37</v>
      </c>
      <c r="Q14" s="54" t="s">
        <v>38</v>
      </c>
    </row>
    <row r="15" spans="2:17">
      <c r="B15" s="25" t="s">
        <v>318</v>
      </c>
      <c r="C15" s="239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39">
        <f>SUM(C15:N15)</f>
        <v>0</v>
      </c>
      <c r="P15" s="240">
        <f>C38</f>
        <v>0</v>
      </c>
      <c r="Q15" s="239"/>
    </row>
    <row r="16" spans="2:17" ht="30">
      <c r="B16" s="25" t="s">
        <v>321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239">
        <f t="shared" ref="O16:O38" si="1">SUM(C16:N16)</f>
        <v>0</v>
      </c>
      <c r="P16" s="75"/>
      <c r="Q16" s="75"/>
    </row>
    <row r="17" spans="2:17">
      <c r="B17" s="72" t="s">
        <v>319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239">
        <f t="shared" si="1"/>
        <v>0</v>
      </c>
      <c r="P17" s="75"/>
      <c r="Q17" s="75"/>
    </row>
    <row r="18" spans="2:17">
      <c r="B18" s="72" t="s">
        <v>320</v>
      </c>
      <c r="C18" s="75">
        <f t="shared" ref="C18:N18" si="2">C17*пдв</f>
        <v>0</v>
      </c>
      <c r="D18" s="75">
        <f t="shared" si="2"/>
        <v>0</v>
      </c>
      <c r="E18" s="75">
        <f t="shared" si="2"/>
        <v>0</v>
      </c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239">
        <f t="shared" si="1"/>
        <v>0</v>
      </c>
      <c r="P18" s="75">
        <f>P17*пдв</f>
        <v>0</v>
      </c>
      <c r="Q18" s="75">
        <f>Q17*пдв</f>
        <v>0</v>
      </c>
    </row>
    <row r="19" spans="2:17">
      <c r="B19" s="72" t="s">
        <v>313</v>
      </c>
      <c r="C19" s="75">
        <f>C17-C18</f>
        <v>0</v>
      </c>
      <c r="D19" s="75">
        <f t="shared" ref="D19:L19" si="3">D17-D18</f>
        <v>0</v>
      </c>
      <c r="E19" s="75">
        <f t="shared" si="3"/>
        <v>0</v>
      </c>
      <c r="F19" s="75">
        <f t="shared" si="3"/>
        <v>0</v>
      </c>
      <c r="G19" s="75">
        <f t="shared" si="3"/>
        <v>0</v>
      </c>
      <c r="H19" s="75">
        <f t="shared" si="3"/>
        <v>0</v>
      </c>
      <c r="I19" s="75">
        <f t="shared" si="3"/>
        <v>0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>M17-M18</f>
        <v>0</v>
      </c>
      <c r="N19" s="75">
        <f t="shared" ref="N19" si="4">N17-N18</f>
        <v>0</v>
      </c>
      <c r="O19" s="239">
        <f t="shared" si="1"/>
        <v>0</v>
      </c>
      <c r="P19" s="75">
        <f t="shared" ref="P19:Q19" si="5">P17-P18</f>
        <v>0</v>
      </c>
      <c r="Q19" s="75">
        <f t="shared" si="5"/>
        <v>0</v>
      </c>
    </row>
    <row r="20" spans="2:17" s="1" customFormat="1">
      <c r="B20" s="73" t="s">
        <v>56</v>
      </c>
      <c r="C20" s="79">
        <f>C19+C16</f>
        <v>0</v>
      </c>
      <c r="D20" s="79">
        <f t="shared" ref="D20:L20" si="6">D19+D16</f>
        <v>0</v>
      </c>
      <c r="E20" s="79">
        <f t="shared" si="6"/>
        <v>0</v>
      </c>
      <c r="F20" s="79">
        <f t="shared" si="6"/>
        <v>0</v>
      </c>
      <c r="G20" s="79">
        <f t="shared" si="6"/>
        <v>0</v>
      </c>
      <c r="H20" s="79">
        <f t="shared" si="6"/>
        <v>0</v>
      </c>
      <c r="I20" s="79">
        <f t="shared" si="6"/>
        <v>0</v>
      </c>
      <c r="J20" s="79">
        <f t="shared" si="6"/>
        <v>0</v>
      </c>
      <c r="K20" s="79">
        <f t="shared" si="6"/>
        <v>0</v>
      </c>
      <c r="L20" s="79">
        <f t="shared" si="6"/>
        <v>0</v>
      </c>
      <c r="M20" s="79">
        <f>M19+M16</f>
        <v>0</v>
      </c>
      <c r="N20" s="79">
        <f t="shared" ref="N20" si="7">N19+N16</f>
        <v>0</v>
      </c>
      <c r="O20" s="80">
        <f t="shared" si="1"/>
        <v>0</v>
      </c>
      <c r="P20" s="80">
        <f t="shared" ref="P20" si="8">SUM(D20:O20)</f>
        <v>0</v>
      </c>
      <c r="Q20" s="80">
        <f t="shared" ref="Q20" si="9">SUM(E20:P20)</f>
        <v>0</v>
      </c>
    </row>
    <row r="21" spans="2:17" s="1" customFormat="1">
      <c r="B21" s="241" t="s">
        <v>73</v>
      </c>
      <c r="O21" s="239">
        <f t="shared" si="1"/>
        <v>0</v>
      </c>
    </row>
    <row r="22" spans="2:17">
      <c r="B22" s="76" t="s">
        <v>58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239">
        <f t="shared" si="1"/>
        <v>0</v>
      </c>
      <c r="P22" s="75"/>
      <c r="Q22" s="75"/>
    </row>
    <row r="23" spans="2:17">
      <c r="B23" s="72" t="s">
        <v>17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39">
        <f t="shared" si="1"/>
        <v>0</v>
      </c>
      <c r="P23" s="75"/>
      <c r="Q23" s="75"/>
    </row>
    <row r="24" spans="2:17">
      <c r="B24" s="74" t="s">
        <v>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239">
        <f t="shared" si="1"/>
        <v>0</v>
      </c>
      <c r="P24" s="75"/>
      <c r="Q24" s="75"/>
    </row>
    <row r="25" spans="2:17">
      <c r="B25" s="74" t="s">
        <v>15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239">
        <f t="shared" si="1"/>
        <v>0</v>
      </c>
      <c r="P25" s="75"/>
      <c r="Q25" s="75"/>
    </row>
    <row r="26" spans="2:17">
      <c r="B26" s="72" t="s">
        <v>55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239">
        <f t="shared" si="1"/>
        <v>0</v>
      </c>
      <c r="P26" s="75"/>
      <c r="Q26" s="75"/>
    </row>
    <row r="27" spans="2:17">
      <c r="B27" s="73" t="s">
        <v>57</v>
      </c>
      <c r="C27" s="80">
        <f>C20-SUM(C22:C26)</f>
        <v>0</v>
      </c>
      <c r="D27" s="80">
        <f t="shared" ref="D27:M27" si="10">D20-SUM(D22:D26)</f>
        <v>0</v>
      </c>
      <c r="E27" s="80">
        <f t="shared" si="10"/>
        <v>0</v>
      </c>
      <c r="F27" s="80">
        <f t="shared" si="10"/>
        <v>0</v>
      </c>
      <c r="G27" s="80">
        <f t="shared" si="10"/>
        <v>0</v>
      </c>
      <c r="H27" s="80">
        <f t="shared" si="10"/>
        <v>0</v>
      </c>
      <c r="I27" s="80">
        <f t="shared" si="10"/>
        <v>0</v>
      </c>
      <c r="J27" s="80">
        <f t="shared" si="10"/>
        <v>0</v>
      </c>
      <c r="K27" s="80">
        <f t="shared" si="10"/>
        <v>0</v>
      </c>
      <c r="L27" s="80">
        <f t="shared" si="10"/>
        <v>0</v>
      </c>
      <c r="M27" s="80">
        <f t="shared" si="10"/>
        <v>0</v>
      </c>
      <c r="N27" s="80">
        <f>N20-SUM(N22:N26)</f>
        <v>0</v>
      </c>
      <c r="O27" s="80">
        <f t="shared" ref="O27:Q27" si="11">O20-SUM(O22:O26)</f>
        <v>0</v>
      </c>
      <c r="P27" s="80">
        <f t="shared" si="11"/>
        <v>0</v>
      </c>
      <c r="Q27" s="80">
        <f t="shared" si="11"/>
        <v>0</v>
      </c>
    </row>
    <row r="28" spans="2:17">
      <c r="B28" s="241" t="s">
        <v>324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39">
        <f t="shared" si="1"/>
        <v>0</v>
      </c>
      <c r="P28" s="241"/>
      <c r="Q28" s="241"/>
    </row>
    <row r="29" spans="2:17">
      <c r="B29" s="70" t="s">
        <v>59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239">
        <f t="shared" si="1"/>
        <v>0</v>
      </c>
      <c r="P29" s="75"/>
      <c r="Q29" s="75"/>
    </row>
    <row r="30" spans="2:17" outlineLevel="1">
      <c r="B30" s="78" t="s">
        <v>60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39">
        <f t="shared" si="1"/>
        <v>0</v>
      </c>
      <c r="P30" s="75"/>
      <c r="Q30" s="75"/>
    </row>
    <row r="31" spans="2:17" outlineLevel="1">
      <c r="B31" s="78" t="s">
        <v>61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239">
        <f t="shared" si="1"/>
        <v>0</v>
      </c>
      <c r="P31" s="75"/>
      <c r="Q31" s="75"/>
    </row>
    <row r="32" spans="2:17" outlineLevel="1">
      <c r="B32" s="78" t="s">
        <v>62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239">
        <f t="shared" si="1"/>
        <v>0</v>
      </c>
      <c r="P32" s="75"/>
      <c r="Q32" s="75"/>
    </row>
    <row r="33" spans="2:17" outlineLevel="1">
      <c r="B33" s="70" t="s">
        <v>322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39">
        <f t="shared" si="1"/>
        <v>0</v>
      </c>
      <c r="P33" s="75"/>
      <c r="Q33" s="75"/>
    </row>
    <row r="34" spans="2:17" outlineLevel="1">
      <c r="B34" s="70" t="s">
        <v>315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39">
        <f t="shared" si="1"/>
        <v>0</v>
      </c>
      <c r="P34" s="251">
        <f>E7</f>
        <v>10666.666666666666</v>
      </c>
      <c r="Q34" s="251">
        <f>E8</f>
        <v>5333.3333333333312</v>
      </c>
    </row>
    <row r="35" spans="2:17">
      <c r="B35" s="73" t="s">
        <v>314</v>
      </c>
      <c r="C35" s="80">
        <f>C27-SUM(C29:C34)</f>
        <v>0</v>
      </c>
      <c r="D35" s="80">
        <f t="shared" ref="D35:M35" si="12">D27-SUM(D29:D34)</f>
        <v>0</v>
      </c>
      <c r="E35" s="80">
        <f t="shared" si="12"/>
        <v>0</v>
      </c>
      <c r="F35" s="80">
        <f t="shared" si="12"/>
        <v>0</v>
      </c>
      <c r="G35" s="80">
        <f t="shared" si="12"/>
        <v>0</v>
      </c>
      <c r="H35" s="80">
        <f t="shared" si="12"/>
        <v>0</v>
      </c>
      <c r="I35" s="80">
        <f t="shared" si="12"/>
        <v>0</v>
      </c>
      <c r="J35" s="80">
        <f t="shared" si="12"/>
        <v>0</v>
      </c>
      <c r="K35" s="80">
        <f t="shared" si="12"/>
        <v>0</v>
      </c>
      <c r="L35" s="80">
        <f t="shared" si="12"/>
        <v>0</v>
      </c>
      <c r="M35" s="80">
        <f t="shared" si="12"/>
        <v>0</v>
      </c>
      <c r="N35" s="80">
        <f>N27-SUM(N29:N34)</f>
        <v>0</v>
      </c>
      <c r="O35" s="80">
        <f t="shared" si="1"/>
        <v>0</v>
      </c>
      <c r="P35" s="80"/>
      <c r="Q35" s="80"/>
    </row>
    <row r="36" spans="2:17">
      <c r="B36" s="70" t="s">
        <v>316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39">
        <f t="shared" si="1"/>
        <v>0</v>
      </c>
      <c r="P36" s="251">
        <f>C7</f>
        <v>133333.33333333331</v>
      </c>
      <c r="Q36" s="251">
        <f>C8</f>
        <v>66666.666666666642</v>
      </c>
    </row>
    <row r="37" spans="2:17">
      <c r="B37" s="81" t="s">
        <v>317</v>
      </c>
      <c r="C37" s="75">
        <f>C35-C36</f>
        <v>0</v>
      </c>
      <c r="D37" s="75">
        <f t="shared" ref="D37:N37" si="13">D35-D36</f>
        <v>0</v>
      </c>
      <c r="E37" s="75">
        <f t="shared" si="13"/>
        <v>0</v>
      </c>
      <c r="F37" s="75">
        <f t="shared" si="13"/>
        <v>0</v>
      </c>
      <c r="G37" s="75">
        <f t="shared" si="13"/>
        <v>0</v>
      </c>
      <c r="H37" s="75">
        <f t="shared" si="13"/>
        <v>0</v>
      </c>
      <c r="I37" s="75">
        <f t="shared" si="13"/>
        <v>0</v>
      </c>
      <c r="J37" s="75">
        <f t="shared" si="13"/>
        <v>0</v>
      </c>
      <c r="K37" s="75">
        <f t="shared" si="13"/>
        <v>0</v>
      </c>
      <c r="L37" s="75">
        <f t="shared" si="13"/>
        <v>0</v>
      </c>
      <c r="M37" s="75">
        <f t="shared" si="13"/>
        <v>0</v>
      </c>
      <c r="N37" s="75">
        <f t="shared" si="13"/>
        <v>0</v>
      </c>
      <c r="O37" s="239">
        <f t="shared" si="1"/>
        <v>0</v>
      </c>
      <c r="P37" s="75"/>
      <c r="Q37" s="75"/>
    </row>
    <row r="38" spans="2:17" ht="30">
      <c r="B38" s="73" t="s">
        <v>323</v>
      </c>
      <c r="C38" s="80">
        <f>C35-C36-C37</f>
        <v>0</v>
      </c>
      <c r="D38" s="80">
        <f t="shared" ref="D38:N38" si="14">D35-D36-D37</f>
        <v>0</v>
      </c>
      <c r="E38" s="80">
        <f t="shared" si="14"/>
        <v>0</v>
      </c>
      <c r="F38" s="80">
        <f t="shared" si="14"/>
        <v>0</v>
      </c>
      <c r="G38" s="80">
        <f t="shared" si="14"/>
        <v>0</v>
      </c>
      <c r="H38" s="80">
        <f t="shared" si="14"/>
        <v>0</v>
      </c>
      <c r="I38" s="80">
        <f t="shared" si="14"/>
        <v>0</v>
      </c>
      <c r="J38" s="80">
        <f t="shared" si="14"/>
        <v>0</v>
      </c>
      <c r="K38" s="80">
        <f t="shared" si="14"/>
        <v>0</v>
      </c>
      <c r="L38" s="80">
        <f t="shared" si="14"/>
        <v>0</v>
      </c>
      <c r="M38" s="80">
        <f t="shared" si="14"/>
        <v>0</v>
      </c>
      <c r="N38" s="80">
        <f t="shared" si="14"/>
        <v>0</v>
      </c>
      <c r="O38" s="80">
        <f t="shared" si="1"/>
        <v>0</v>
      </c>
      <c r="P38" s="80"/>
      <c r="Q38" s="80"/>
    </row>
    <row r="40" spans="2:17">
      <c r="B40" s="20" t="s">
        <v>69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7"/>
      <c r="Q40" s="17"/>
    </row>
    <row r="42" spans="2:17">
      <c r="B42" s="73" t="s">
        <v>22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>
      <c r="B43" s="70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>
      <c r="B44" s="70" t="s">
        <v>70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2:17">
      <c r="B45" s="70" t="str">
        <f>B16</f>
        <v>Надходження коштів від наданих послуг (пайові внески)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>
      <c r="B46" s="70" t="str">
        <f>B17</f>
        <v>Інші надходження (реалізація продукції членів)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2:17">
      <c r="B47" s="73" t="s">
        <v>71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17">
      <c r="B48" s="78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2:17">
      <c r="B49" s="70" t="s">
        <v>72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2:17">
      <c r="B50" s="70" t="s">
        <v>73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7">
      <c r="B51" s="70" t="s">
        <v>74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2:17">
      <c r="B52" s="70" t="str">
        <f>B37</f>
        <v>Кооперативні виплати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2:17">
      <c r="B53" s="73" t="s">
        <v>23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2:17">
      <c r="B54" s="78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2:17">
      <c r="B55" s="73" t="s">
        <v>24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7" spans="2:17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</sheetData>
  <mergeCells count="1">
    <mergeCell ref="C13:Q1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25</vt:i4>
      </vt:variant>
    </vt:vector>
  </HeadingPairs>
  <TitlesOfParts>
    <vt:vector size="34" baseType="lpstr">
      <vt:lpstr>Зобов"яз_членів</vt:lpstr>
      <vt:lpstr>Вхідні - Адмін_витрати</vt:lpstr>
      <vt:lpstr>Трактор</vt:lpstr>
      <vt:lpstr>Черешня</vt:lpstr>
      <vt:lpstr>Молоко</vt:lpstr>
      <vt:lpstr>Реаліз прод членів</vt:lpstr>
      <vt:lpstr>Коштор проекту дж фінанс</vt:lpstr>
      <vt:lpstr>ВИГОДИ</vt:lpstr>
      <vt:lpstr>cash-flow</vt:lpstr>
      <vt:lpstr>'Коштор проекту дж фінанс'!_ftn1</vt:lpstr>
      <vt:lpstr>'Коштор проекту дж фінанс'!_ftn2</vt:lpstr>
      <vt:lpstr>'Коштор проекту дж фінанс'!_ftn3</vt:lpstr>
      <vt:lpstr>'Коштор проекту дж фінанс'!_ftnref1</vt:lpstr>
      <vt:lpstr>'Коштор проекту дж фінанс'!_ftnref2</vt:lpstr>
      <vt:lpstr>'Коштор проекту дж фінанс'!_ftnref3</vt:lpstr>
      <vt:lpstr>tax_employ</vt:lpstr>
      <vt:lpstr>ам_буд</vt:lpstr>
      <vt:lpstr>ам_будівель</vt:lpstr>
      <vt:lpstr>ам_тех</vt:lpstr>
      <vt:lpstr>Амортизація__обладнання</vt:lpstr>
      <vt:lpstr>бенз</vt:lpstr>
      <vt:lpstr>вартість</vt:lpstr>
      <vt:lpstr>вартість1</vt:lpstr>
      <vt:lpstr>дп</vt:lpstr>
      <vt:lpstr>ел</vt:lpstr>
      <vt:lpstr>Курс</vt:lpstr>
      <vt:lpstr>курс1</vt:lpstr>
      <vt:lpstr>Нарахування_на_ФЗП</vt:lpstr>
      <vt:lpstr>опер</vt:lpstr>
      <vt:lpstr>опер2</vt:lpstr>
      <vt:lpstr>офіс</vt:lpstr>
      <vt:lpstr>послуга1</vt:lpstr>
      <vt:lpstr>сф</vt:lpstr>
      <vt:lpstr>фзп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</dc:creator>
  <cp:lastModifiedBy>В.К.</cp:lastModifiedBy>
  <cp:lastPrinted>2012-12-16T15:34:45Z</cp:lastPrinted>
  <dcterms:created xsi:type="dcterms:W3CDTF">2012-07-06T09:15:56Z</dcterms:created>
  <dcterms:modified xsi:type="dcterms:W3CDTF">2013-06-11T12:52:22Z</dcterms:modified>
</cp:coreProperties>
</file>